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E444D13-D8EC-4C06-BAF5-E1C2D53E7FA4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Sheet1" sheetId="1" r:id="rId1"/>
    <sheet name="Sheet2" sheetId="2" r:id="rId2"/>
    <sheet name="Sheet2 (2)" sheetId="3" r:id="rId3"/>
    <sheet name="Sheet3" sheetId="4" r:id="rId4"/>
    <sheet name="2023" sheetId="6" r:id="rId5"/>
    <sheet name="Sheet6" sheetId="7" r:id="rId6"/>
    <sheet name="Sheet3 (2)" sheetId="5" r:id="rId7"/>
    <sheet name="Sheet8" sheetId="9" r:id="rId8"/>
    <sheet name="Sheet3 (3)" sheetId="8" r:id="rId9"/>
    <sheet name="Sheet3 (4)" sheetId="10" r:id="rId10"/>
    <sheet name="Sheet4" sheetId="11" r:id="rId11"/>
  </sheets>
  <definedNames>
    <definedName name="_xlnm._FilterDatabase" localSheetId="4" hidden="1">'2023'!$A$6:$BD$299</definedName>
    <definedName name="_xlnm.Print_Area" localSheetId="4">'2023'!$AP$1:$BD$20</definedName>
    <definedName name="_xlnm.Print_Area" localSheetId="3">Sheet3!$B$1:$G$18</definedName>
    <definedName name="_xlnm.Print_Area" localSheetId="6">'Sheet3 (2)'!$B$1:$P$31</definedName>
    <definedName name="_xlnm.Print_Area" localSheetId="9">'Sheet3 (4)'!$B$1:$F$30</definedName>
    <definedName name="_xlnm.Print_Titles" localSheetId="6">'Sheet3 (2)'!$4:$6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E30" i="10"/>
  <c r="F30" i="10"/>
  <c r="C30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6" i="10"/>
  <c r="E29" i="10"/>
  <c r="D29" i="10"/>
  <c r="C29" i="10"/>
  <c r="E28" i="10"/>
  <c r="D28" i="10"/>
  <c r="C28" i="10"/>
  <c r="E27" i="10"/>
  <c r="D27" i="10"/>
  <c r="C27" i="10"/>
  <c r="E26" i="10"/>
  <c r="D26" i="10"/>
  <c r="C26" i="10"/>
  <c r="E25" i="10"/>
  <c r="D25" i="10"/>
  <c r="C25" i="10"/>
  <c r="E24" i="10"/>
  <c r="D24" i="10"/>
  <c r="C24" i="10"/>
  <c r="E23" i="10"/>
  <c r="D23" i="10"/>
  <c r="C23" i="10"/>
  <c r="E22" i="10"/>
  <c r="D22" i="10"/>
  <c r="C22" i="10"/>
  <c r="E21" i="10"/>
  <c r="D21" i="10"/>
  <c r="C21" i="10"/>
  <c r="E20" i="10"/>
  <c r="D20" i="10"/>
  <c r="C20" i="10"/>
  <c r="E19" i="10"/>
  <c r="D19" i="10"/>
  <c r="C19" i="10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E9" i="10"/>
  <c r="D9" i="10"/>
  <c r="C9" i="10"/>
  <c r="E8" i="10"/>
  <c r="D8" i="10"/>
  <c r="C8" i="10"/>
  <c r="E7" i="10"/>
  <c r="D7" i="10"/>
  <c r="C7" i="10"/>
  <c r="E6" i="10"/>
  <c r="D6" i="10"/>
  <c r="C6" i="10"/>
  <c r="L21" i="9" l="1"/>
  <c r="L22" i="9"/>
  <c r="L23" i="9"/>
  <c r="L24" i="9"/>
  <c r="L25" i="9"/>
  <c r="L26" i="9"/>
  <c r="L27" i="9"/>
  <c r="L28" i="9"/>
  <c r="L29" i="9"/>
  <c r="L30" i="9"/>
  <c r="L31" i="9"/>
  <c r="L34" i="9"/>
  <c r="L35" i="9"/>
  <c r="L36" i="9"/>
  <c r="L37" i="9"/>
  <c r="L38" i="9"/>
  <c r="L39" i="9"/>
  <c r="L41" i="9"/>
  <c r="L42" i="9"/>
  <c r="L43" i="9"/>
  <c r="L44" i="9"/>
  <c r="L45" i="9"/>
  <c r="L47" i="9"/>
  <c r="L48" i="9"/>
  <c r="L49" i="9"/>
  <c r="L50" i="9"/>
  <c r="L51" i="9"/>
  <c r="L52" i="9"/>
  <c r="L56" i="9"/>
  <c r="L57" i="9"/>
  <c r="L60" i="9"/>
  <c r="L61" i="9"/>
  <c r="L62" i="9"/>
  <c r="L63" i="9"/>
  <c r="L64" i="9"/>
  <c r="L65" i="9"/>
  <c r="L69" i="9"/>
  <c r="L70" i="9"/>
  <c r="L73" i="9"/>
  <c r="L74" i="9"/>
  <c r="L76" i="9"/>
  <c r="L77" i="9"/>
  <c r="L78" i="9"/>
  <c r="L80" i="9"/>
  <c r="L82" i="9"/>
  <c r="L83" i="9"/>
  <c r="L84" i="9"/>
  <c r="L87" i="9"/>
  <c r="L89" i="9"/>
  <c r="L90" i="9"/>
  <c r="L91" i="9"/>
  <c r="L92" i="9"/>
  <c r="L94" i="9"/>
  <c r="L95" i="9"/>
  <c r="L96" i="9"/>
  <c r="L97" i="9"/>
  <c r="L99" i="9"/>
  <c r="L100" i="9"/>
  <c r="L101" i="9"/>
  <c r="L102" i="9"/>
  <c r="L103" i="9"/>
  <c r="L104" i="9"/>
  <c r="L107" i="9"/>
  <c r="L108" i="9"/>
  <c r="L109" i="9"/>
  <c r="L112" i="9"/>
  <c r="L113" i="9"/>
  <c r="L114" i="9"/>
  <c r="L115" i="9"/>
  <c r="L116" i="9"/>
  <c r="L117" i="9"/>
  <c r="L120" i="9"/>
  <c r="L121" i="9"/>
  <c r="L122" i="9"/>
  <c r="L123" i="9"/>
  <c r="L125" i="9"/>
  <c r="L126" i="9"/>
  <c r="L127" i="9"/>
  <c r="L128" i="9"/>
  <c r="L129" i="9"/>
  <c r="L130" i="9"/>
  <c r="L133" i="9"/>
  <c r="L134" i="9"/>
  <c r="L135" i="9"/>
  <c r="L136" i="9"/>
  <c r="L138" i="9"/>
  <c r="L139" i="9"/>
  <c r="L140" i="9"/>
  <c r="L141" i="9"/>
  <c r="L142" i="9"/>
  <c r="L143" i="9"/>
  <c r="L146" i="9"/>
  <c r="L147" i="9"/>
  <c r="L148" i="9"/>
  <c r="L149" i="9"/>
  <c r="L151" i="9"/>
  <c r="L152" i="9"/>
  <c r="L153" i="9"/>
  <c r="L154" i="9"/>
  <c r="L155" i="9"/>
  <c r="L156" i="9"/>
  <c r="L158" i="9"/>
  <c r="L159" i="9"/>
  <c r="L160" i="9"/>
  <c r="L161" i="9"/>
  <c r="L162" i="9"/>
  <c r="L164" i="9"/>
  <c r="L165" i="9"/>
  <c r="L166" i="9"/>
  <c r="L167" i="9"/>
  <c r="L168" i="9"/>
  <c r="L169" i="9"/>
  <c r="L172" i="9"/>
  <c r="L173" i="9"/>
  <c r="L174" i="9"/>
  <c r="L175" i="9"/>
  <c r="L178" i="9"/>
  <c r="L179" i="9"/>
  <c r="L180" i="9"/>
  <c r="L181" i="9"/>
  <c r="L182" i="9"/>
  <c r="L185" i="9"/>
  <c r="L186" i="9"/>
  <c r="L187" i="9"/>
  <c r="L188" i="9"/>
  <c r="L191" i="9"/>
  <c r="L192" i="9"/>
  <c r="L193" i="9"/>
  <c r="L194" i="9"/>
  <c r="L195" i="9"/>
  <c r="L198" i="9"/>
  <c r="L199" i="9"/>
  <c r="L200" i="9"/>
  <c r="L201" i="9"/>
  <c r="L203" i="9"/>
  <c r="L204" i="9"/>
  <c r="L206" i="9"/>
  <c r="L207" i="9"/>
  <c r="L208" i="9"/>
  <c r="L210" i="9"/>
  <c r="L211" i="9"/>
  <c r="L212" i="9"/>
  <c r="L213" i="9"/>
  <c r="L214" i="9"/>
  <c r="L216" i="9"/>
  <c r="L217" i="9"/>
  <c r="L218" i="9"/>
  <c r="L219" i="9"/>
  <c r="L220" i="9"/>
  <c r="L221" i="9"/>
  <c r="L222" i="9"/>
  <c r="L223" i="9"/>
  <c r="L224" i="9"/>
  <c r="L225" i="9"/>
  <c r="L226" i="9"/>
  <c r="L227" i="9"/>
  <c r="L229" i="9"/>
  <c r="L230" i="9"/>
  <c r="L232" i="9"/>
  <c r="L233" i="9"/>
  <c r="L234" i="9"/>
  <c r="L236" i="9"/>
  <c r="L238" i="9"/>
  <c r="L239" i="9"/>
  <c r="L240" i="9"/>
  <c r="L243" i="9"/>
  <c r="L244" i="9"/>
  <c r="L245" i="9"/>
  <c r="L246" i="9"/>
  <c r="L247" i="9"/>
  <c r="L250" i="9"/>
  <c r="L251" i="9"/>
  <c r="L252" i="9"/>
  <c r="L253" i="9"/>
  <c r="L255" i="9"/>
  <c r="L256" i="9"/>
  <c r="L257" i="9"/>
  <c r="L258" i="9"/>
  <c r="L259" i="9"/>
  <c r="L260" i="9"/>
  <c r="L262" i="9"/>
  <c r="L263" i="9"/>
  <c r="L264" i="9"/>
  <c r="L265" i="9"/>
  <c r="L266" i="9"/>
  <c r="L268" i="9"/>
  <c r="L269" i="9"/>
  <c r="L270" i="9"/>
  <c r="L271" i="9"/>
  <c r="L272" i="9"/>
  <c r="L273" i="9"/>
  <c r="L276" i="9"/>
  <c r="L277" i="9"/>
  <c r="L278" i="9"/>
  <c r="L279" i="9"/>
  <c r="L281" i="9"/>
  <c r="L282" i="9"/>
  <c r="L283" i="9"/>
  <c r="L284" i="9"/>
  <c r="L285" i="9"/>
  <c r="L286" i="9"/>
  <c r="L289" i="9"/>
  <c r="L290" i="9"/>
  <c r="L291" i="9"/>
  <c r="L292" i="9"/>
  <c r="L294" i="9"/>
  <c r="L295" i="9"/>
  <c r="L296" i="9"/>
  <c r="L297" i="9"/>
  <c r="L298" i="9"/>
  <c r="L299" i="9"/>
  <c r="L301" i="9"/>
  <c r="L302" i="9"/>
  <c r="L303" i="9"/>
  <c r="L304" i="9"/>
  <c r="L305" i="9"/>
  <c r="L308" i="9"/>
  <c r="L309" i="9"/>
  <c r="L310" i="9"/>
  <c r="L311" i="9"/>
  <c r="L312" i="9"/>
  <c r="L314" i="9"/>
  <c r="L315" i="9"/>
  <c r="L316" i="9"/>
  <c r="L317" i="9"/>
  <c r="L9" i="9"/>
  <c r="L10" i="9"/>
  <c r="L11" i="9"/>
  <c r="L12" i="9"/>
  <c r="L13" i="9"/>
  <c r="L16" i="9"/>
  <c r="L17" i="9"/>
  <c r="L18" i="9"/>
  <c r="L19" i="9"/>
  <c r="L8" i="9"/>
  <c r="I31" i="8"/>
  <c r="E25" i="8"/>
  <c r="G23" i="8"/>
  <c r="G21" i="8"/>
  <c r="D18" i="8"/>
  <c r="F16" i="8"/>
  <c r="E14" i="8"/>
  <c r="D9" i="8"/>
  <c r="G150" i="7"/>
  <c r="E32" i="9"/>
  <c r="L32" i="9" s="1"/>
  <c r="E86" i="7"/>
  <c r="K319" i="9"/>
  <c r="I319" i="9"/>
  <c r="G31" i="8" s="1"/>
  <c r="H319" i="9"/>
  <c r="F319" i="9"/>
  <c r="D31" i="8" s="1"/>
  <c r="K306" i="9"/>
  <c r="I30" i="8" s="1"/>
  <c r="J306" i="9"/>
  <c r="H30" i="8" s="1"/>
  <c r="I306" i="9"/>
  <c r="G30" i="8" s="1"/>
  <c r="H306" i="9"/>
  <c r="F30" i="8" s="1"/>
  <c r="G306" i="9"/>
  <c r="E30" i="8" s="1"/>
  <c r="F306" i="9"/>
  <c r="D30" i="8" s="1"/>
  <c r="K293" i="9"/>
  <c r="I29" i="8" s="1"/>
  <c r="I293" i="9"/>
  <c r="G29" i="8" s="1"/>
  <c r="H293" i="9"/>
  <c r="F29" i="8" s="1"/>
  <c r="G293" i="9"/>
  <c r="E29" i="8" s="1"/>
  <c r="F293" i="9"/>
  <c r="D29" i="8" s="1"/>
  <c r="K280" i="9"/>
  <c r="I27" i="8" s="1"/>
  <c r="I280" i="9"/>
  <c r="G27" i="8" s="1"/>
  <c r="H280" i="9"/>
  <c r="F27" i="8" s="1"/>
  <c r="G280" i="9"/>
  <c r="E27" i="8" s="1"/>
  <c r="F280" i="9"/>
  <c r="D27" i="8" s="1"/>
  <c r="K267" i="9"/>
  <c r="I28" i="8" s="1"/>
  <c r="J267" i="9"/>
  <c r="H28" i="8" s="1"/>
  <c r="I267" i="9"/>
  <c r="G28" i="8" s="1"/>
  <c r="H267" i="9"/>
  <c r="F28" i="8" s="1"/>
  <c r="G267" i="9"/>
  <c r="E28" i="8" s="1"/>
  <c r="F267" i="9"/>
  <c r="D28" i="8" s="1"/>
  <c r="I254" i="9"/>
  <c r="G26" i="8" s="1"/>
  <c r="H254" i="9"/>
  <c r="F26" i="8" s="1"/>
  <c r="G254" i="9"/>
  <c r="E26" i="8" s="1"/>
  <c r="F254" i="9"/>
  <c r="D26" i="8" s="1"/>
  <c r="K241" i="9"/>
  <c r="I25" i="8" s="1"/>
  <c r="J241" i="9"/>
  <c r="H25" i="8" s="1"/>
  <c r="I241" i="9"/>
  <c r="G25" i="8" s="1"/>
  <c r="H241" i="9"/>
  <c r="F25" i="8" s="1"/>
  <c r="G241" i="9"/>
  <c r="F241" i="9"/>
  <c r="D25" i="8" s="1"/>
  <c r="K228" i="9"/>
  <c r="I24" i="8" s="1"/>
  <c r="J228" i="9"/>
  <c r="H24" i="8" s="1"/>
  <c r="I228" i="9"/>
  <c r="G24" i="8" s="1"/>
  <c r="H228" i="9"/>
  <c r="F24" i="8" s="1"/>
  <c r="G228" i="9"/>
  <c r="E24" i="8" s="1"/>
  <c r="F228" i="9"/>
  <c r="D24" i="8" s="1"/>
  <c r="E228" i="9"/>
  <c r="C24" i="8" s="1"/>
  <c r="K215" i="9"/>
  <c r="I23" i="8" s="1"/>
  <c r="J215" i="9"/>
  <c r="H23" i="8" s="1"/>
  <c r="I215" i="9"/>
  <c r="H215" i="9"/>
  <c r="F23" i="8" s="1"/>
  <c r="G215" i="9"/>
  <c r="E23" i="8" s="1"/>
  <c r="F215" i="9"/>
  <c r="D23" i="8" s="1"/>
  <c r="K202" i="9"/>
  <c r="I22" i="8" s="1"/>
  <c r="I202" i="9"/>
  <c r="G22" i="8" s="1"/>
  <c r="H202" i="9"/>
  <c r="F22" i="8" s="1"/>
  <c r="G202" i="9"/>
  <c r="E22" i="8" s="1"/>
  <c r="F202" i="9"/>
  <c r="D22" i="8" s="1"/>
  <c r="I189" i="9"/>
  <c r="H189" i="9"/>
  <c r="F21" i="8" s="1"/>
  <c r="G189" i="9"/>
  <c r="E21" i="8" s="1"/>
  <c r="F189" i="9"/>
  <c r="D21" i="8" s="1"/>
  <c r="I176" i="9"/>
  <c r="G20" i="8" s="1"/>
  <c r="H176" i="9"/>
  <c r="F20" i="8" s="1"/>
  <c r="G176" i="9"/>
  <c r="E20" i="8" s="1"/>
  <c r="F176" i="9"/>
  <c r="D20" i="8" s="1"/>
  <c r="K163" i="9"/>
  <c r="I19" i="8" s="1"/>
  <c r="J163" i="9"/>
  <c r="H19" i="8" s="1"/>
  <c r="I163" i="9"/>
  <c r="G19" i="8" s="1"/>
  <c r="H163" i="9"/>
  <c r="F19" i="8" s="1"/>
  <c r="G163" i="9"/>
  <c r="E19" i="8" s="1"/>
  <c r="F163" i="9"/>
  <c r="D19" i="8" s="1"/>
  <c r="K150" i="9"/>
  <c r="I18" i="8" s="1"/>
  <c r="I150" i="9"/>
  <c r="G18" i="8" s="1"/>
  <c r="H150" i="9"/>
  <c r="F18" i="8" s="1"/>
  <c r="G150" i="9"/>
  <c r="E18" i="8" s="1"/>
  <c r="F150" i="9"/>
  <c r="K137" i="9"/>
  <c r="I17" i="8" s="1"/>
  <c r="I137" i="9"/>
  <c r="G17" i="8" s="1"/>
  <c r="H137" i="9"/>
  <c r="F17" i="8" s="1"/>
  <c r="G137" i="9"/>
  <c r="E17" i="8" s="1"/>
  <c r="F137" i="9"/>
  <c r="D17" i="8" s="1"/>
  <c r="K124" i="9"/>
  <c r="I16" i="8" s="1"/>
  <c r="I124" i="9"/>
  <c r="G16" i="8" s="1"/>
  <c r="H124" i="9"/>
  <c r="F124" i="9"/>
  <c r="D16" i="8" s="1"/>
  <c r="E124" i="9"/>
  <c r="K111" i="9"/>
  <c r="I15" i="8" s="1"/>
  <c r="I111" i="9"/>
  <c r="G15" i="8" s="1"/>
  <c r="H111" i="9"/>
  <c r="F15" i="8" s="1"/>
  <c r="G111" i="9"/>
  <c r="E15" i="8" s="1"/>
  <c r="F111" i="9"/>
  <c r="D15" i="8" s="1"/>
  <c r="K98" i="9"/>
  <c r="I14" i="8" s="1"/>
  <c r="I98" i="9"/>
  <c r="G14" i="8" s="1"/>
  <c r="H98" i="9"/>
  <c r="F14" i="8" s="1"/>
  <c r="G98" i="9"/>
  <c r="F98" i="9"/>
  <c r="D14" i="8" s="1"/>
  <c r="K85" i="9"/>
  <c r="I13" i="8" s="1"/>
  <c r="I85" i="9"/>
  <c r="G13" i="8" s="1"/>
  <c r="H85" i="9"/>
  <c r="F13" i="8" s="1"/>
  <c r="G85" i="9"/>
  <c r="E13" i="8" s="1"/>
  <c r="F85" i="9"/>
  <c r="D13" i="8" s="1"/>
  <c r="K72" i="9"/>
  <c r="I12" i="8" s="1"/>
  <c r="I72" i="9"/>
  <c r="G12" i="8" s="1"/>
  <c r="H72" i="9"/>
  <c r="F12" i="8" s="1"/>
  <c r="G72" i="9"/>
  <c r="E12" i="8" s="1"/>
  <c r="F72" i="9"/>
  <c r="D12" i="8" s="1"/>
  <c r="I59" i="9"/>
  <c r="G11" i="8" s="1"/>
  <c r="H59" i="9"/>
  <c r="F11" i="8" s="1"/>
  <c r="G59" i="9"/>
  <c r="E11" i="8" s="1"/>
  <c r="F59" i="9"/>
  <c r="D11" i="8" s="1"/>
  <c r="K46" i="9"/>
  <c r="I10" i="8" s="1"/>
  <c r="J46" i="9"/>
  <c r="H10" i="8" s="1"/>
  <c r="I46" i="9"/>
  <c r="G10" i="8" s="1"/>
  <c r="H46" i="9"/>
  <c r="F10" i="8" s="1"/>
  <c r="G46" i="9"/>
  <c r="E10" i="8" s="1"/>
  <c r="F46" i="9"/>
  <c r="D10" i="8" s="1"/>
  <c r="K33" i="9"/>
  <c r="I9" i="8" s="1"/>
  <c r="I33" i="9"/>
  <c r="G9" i="8" s="1"/>
  <c r="H33" i="9"/>
  <c r="F9" i="8" s="1"/>
  <c r="G33" i="9"/>
  <c r="E9" i="8" s="1"/>
  <c r="F33" i="9"/>
  <c r="F20" i="9"/>
  <c r="D8" i="8" s="1"/>
  <c r="G20" i="9"/>
  <c r="E8" i="8" s="1"/>
  <c r="H20" i="9"/>
  <c r="F8" i="8" s="1"/>
  <c r="I20" i="9"/>
  <c r="G8" i="8" s="1"/>
  <c r="K20" i="9"/>
  <c r="I8" i="8" s="1"/>
  <c r="E20" i="9"/>
  <c r="J318" i="9"/>
  <c r="E318" i="9"/>
  <c r="L318" i="9" s="1"/>
  <c r="J313" i="9"/>
  <c r="J319" i="9" s="1"/>
  <c r="H31" i="8" s="1"/>
  <c r="G313" i="9"/>
  <c r="G319" i="9" s="1"/>
  <c r="E313" i="9"/>
  <c r="E307" i="9"/>
  <c r="E300" i="9"/>
  <c r="L300" i="9" s="1"/>
  <c r="J288" i="9"/>
  <c r="J287" i="9"/>
  <c r="E287" i="9"/>
  <c r="J275" i="9"/>
  <c r="E275" i="9"/>
  <c r="L275" i="9" s="1"/>
  <c r="J274" i="9"/>
  <c r="J280" i="9" s="1"/>
  <c r="H27" i="8" s="1"/>
  <c r="E274" i="9"/>
  <c r="L274" i="9" s="1"/>
  <c r="E261" i="9"/>
  <c r="L261" i="9" s="1"/>
  <c r="J249" i="9"/>
  <c r="E249" i="9"/>
  <c r="K248" i="9"/>
  <c r="K254" i="9" s="1"/>
  <c r="I26" i="8" s="1"/>
  <c r="J248" i="9"/>
  <c r="E248" i="9"/>
  <c r="L248" i="9" s="1"/>
  <c r="K242" i="9"/>
  <c r="J242" i="9"/>
  <c r="E242" i="9"/>
  <c r="E237" i="9"/>
  <c r="L237" i="9" s="1"/>
  <c r="E235" i="9"/>
  <c r="L235" i="9" s="1"/>
  <c r="E231" i="9"/>
  <c r="J209" i="9"/>
  <c r="E209" i="9"/>
  <c r="L209" i="9" s="1"/>
  <c r="J205" i="9"/>
  <c r="E205" i="9"/>
  <c r="J197" i="9"/>
  <c r="L197" i="9" s="1"/>
  <c r="E196" i="9"/>
  <c r="L196" i="9" s="1"/>
  <c r="E192" i="9"/>
  <c r="E190" i="9"/>
  <c r="L190" i="9" s="1"/>
  <c r="J184" i="9"/>
  <c r="E184" i="9"/>
  <c r="L184" i="9" s="1"/>
  <c r="K183" i="9"/>
  <c r="K189" i="9" s="1"/>
  <c r="I21" i="8" s="1"/>
  <c r="J183" i="9"/>
  <c r="J189" i="9" s="1"/>
  <c r="H21" i="8" s="1"/>
  <c r="E183" i="9"/>
  <c r="E177" i="9"/>
  <c r="K171" i="9"/>
  <c r="J171" i="9"/>
  <c r="E171" i="9"/>
  <c r="K170" i="9"/>
  <c r="E170" i="9"/>
  <c r="J164" i="9"/>
  <c r="J176" i="9" s="1"/>
  <c r="H20" i="8" s="1"/>
  <c r="E164" i="9"/>
  <c r="E176" i="9" s="1"/>
  <c r="E157" i="9"/>
  <c r="J145" i="9"/>
  <c r="E145" i="9"/>
  <c r="L145" i="9" s="1"/>
  <c r="J144" i="9"/>
  <c r="E144" i="9"/>
  <c r="L144" i="9" s="1"/>
  <c r="J132" i="9"/>
  <c r="E132" i="9"/>
  <c r="L132" i="9" s="1"/>
  <c r="J131" i="9"/>
  <c r="J137" i="9" s="1"/>
  <c r="H17" i="8" s="1"/>
  <c r="E131" i="9"/>
  <c r="J119" i="9"/>
  <c r="E119" i="9"/>
  <c r="L119" i="9" s="1"/>
  <c r="J118" i="9"/>
  <c r="G118" i="9"/>
  <c r="G124" i="9" s="1"/>
  <c r="E16" i="8" s="1"/>
  <c r="E118" i="9"/>
  <c r="J110" i="9"/>
  <c r="L110" i="9" s="1"/>
  <c r="E106" i="9"/>
  <c r="L106" i="9" s="1"/>
  <c r="E105" i="9"/>
  <c r="E93" i="9"/>
  <c r="L93" i="9" s="1"/>
  <c r="E88" i="9"/>
  <c r="L88" i="9" s="1"/>
  <c r="J86" i="9"/>
  <c r="J98" i="9" s="1"/>
  <c r="H14" i="8" s="1"/>
  <c r="E86" i="9"/>
  <c r="L86" i="9" s="1"/>
  <c r="E81" i="9"/>
  <c r="L81" i="9" s="1"/>
  <c r="J79" i="9"/>
  <c r="L79" i="9" s="1"/>
  <c r="E79" i="9"/>
  <c r="E75" i="9"/>
  <c r="E71" i="9"/>
  <c r="L71" i="9" s="1"/>
  <c r="J68" i="9"/>
  <c r="E68" i="9"/>
  <c r="J67" i="9"/>
  <c r="E67" i="9"/>
  <c r="E66" i="9"/>
  <c r="L66" i="9" s="1"/>
  <c r="E58" i="9"/>
  <c r="L58" i="9" s="1"/>
  <c r="K55" i="9"/>
  <c r="E55" i="9"/>
  <c r="E54" i="9"/>
  <c r="L54" i="9" s="1"/>
  <c r="J53" i="9"/>
  <c r="J59" i="9" s="1"/>
  <c r="H11" i="8" s="1"/>
  <c r="E53" i="9"/>
  <c r="E40" i="9"/>
  <c r="L40" i="9" s="1"/>
  <c r="J32" i="9"/>
  <c r="J33" i="9" s="1"/>
  <c r="H9" i="8" s="1"/>
  <c r="E15" i="9"/>
  <c r="L15" i="9" s="1"/>
  <c r="J14" i="9"/>
  <c r="J20" i="9" s="1"/>
  <c r="H8" i="8" s="1"/>
  <c r="E14" i="9"/>
  <c r="O22" i="5"/>
  <c r="J319" i="7"/>
  <c r="H30" i="5" s="1"/>
  <c r="K319" i="7"/>
  <c r="I30" i="5" s="1"/>
  <c r="L319" i="7"/>
  <c r="J30" i="5" s="1"/>
  <c r="M319" i="7"/>
  <c r="K30" i="5" s="1"/>
  <c r="N319" i="7"/>
  <c r="L30" i="5" s="1"/>
  <c r="O319" i="7"/>
  <c r="M30" i="5" s="1"/>
  <c r="P319" i="7"/>
  <c r="N30" i="5" s="1"/>
  <c r="Q319" i="7"/>
  <c r="O30" i="5" s="1"/>
  <c r="K306" i="7"/>
  <c r="I29" i="5" s="1"/>
  <c r="L306" i="7"/>
  <c r="J29" i="5" s="1"/>
  <c r="M306" i="7"/>
  <c r="K29" i="5" s="1"/>
  <c r="N306" i="7"/>
  <c r="L29" i="5" s="1"/>
  <c r="P306" i="7"/>
  <c r="N29" i="5" s="1"/>
  <c r="Q306" i="7"/>
  <c r="O29" i="5" s="1"/>
  <c r="J293" i="7"/>
  <c r="H28" i="5" s="1"/>
  <c r="K293" i="7"/>
  <c r="I28" i="5" s="1"/>
  <c r="L293" i="7"/>
  <c r="J28" i="5" s="1"/>
  <c r="M293" i="7"/>
  <c r="K28" i="5" s="1"/>
  <c r="N293" i="7"/>
  <c r="L28" i="5" s="1"/>
  <c r="O293" i="7"/>
  <c r="M28" i="5" s="1"/>
  <c r="P293" i="7"/>
  <c r="N28" i="5" s="1"/>
  <c r="Q293" i="7"/>
  <c r="O28" i="5" s="1"/>
  <c r="J280" i="7"/>
  <c r="H26" i="5" s="1"/>
  <c r="K280" i="7"/>
  <c r="I26" i="5" s="1"/>
  <c r="L280" i="7"/>
  <c r="J26" i="5" s="1"/>
  <c r="M280" i="7"/>
  <c r="K26" i="5" s="1"/>
  <c r="N280" i="7"/>
  <c r="L26" i="5" s="1"/>
  <c r="O280" i="7"/>
  <c r="M26" i="5" s="1"/>
  <c r="P280" i="7"/>
  <c r="N26" i="5" s="1"/>
  <c r="Q280" i="7"/>
  <c r="O26" i="5" s="1"/>
  <c r="K267" i="7"/>
  <c r="I27" i="5" s="1"/>
  <c r="L267" i="7"/>
  <c r="J27" i="5" s="1"/>
  <c r="M267" i="7"/>
  <c r="K27" i="5" s="1"/>
  <c r="N267" i="7"/>
  <c r="L27" i="5" s="1"/>
  <c r="O267" i="7"/>
  <c r="M27" i="5" s="1"/>
  <c r="P267" i="7"/>
  <c r="N27" i="5" s="1"/>
  <c r="Q267" i="7"/>
  <c r="O27" i="5" s="1"/>
  <c r="J254" i="7"/>
  <c r="H25" i="5" s="1"/>
  <c r="L254" i="7"/>
  <c r="J25" i="5" s="1"/>
  <c r="N254" i="7"/>
  <c r="L25" i="5" s="1"/>
  <c r="O254" i="7"/>
  <c r="M25" i="5" s="1"/>
  <c r="P254" i="7"/>
  <c r="N25" i="5" s="1"/>
  <c r="Q254" i="7"/>
  <c r="O25" i="5" s="1"/>
  <c r="J257" i="7"/>
  <c r="J267" i="7" s="1"/>
  <c r="H27" i="5" s="1"/>
  <c r="M242" i="7"/>
  <c r="M254" i="7" s="1"/>
  <c r="K25" i="5" s="1"/>
  <c r="K242" i="7"/>
  <c r="K254" i="7" s="1"/>
  <c r="I25" i="5" s="1"/>
  <c r="J301" i="7"/>
  <c r="J306" i="7" s="1"/>
  <c r="H29" i="5" s="1"/>
  <c r="O300" i="7"/>
  <c r="O306" i="7" s="1"/>
  <c r="M29" i="5" s="1"/>
  <c r="J241" i="7"/>
  <c r="H24" i="5" s="1"/>
  <c r="K241" i="7"/>
  <c r="I24" i="5" s="1"/>
  <c r="L241" i="7"/>
  <c r="J24" i="5" s="1"/>
  <c r="M241" i="7"/>
  <c r="K24" i="5" s="1"/>
  <c r="N241" i="7"/>
  <c r="L24" i="5" s="1"/>
  <c r="O241" i="7"/>
  <c r="M24" i="5" s="1"/>
  <c r="P241" i="7"/>
  <c r="N24" i="5" s="1"/>
  <c r="Q241" i="7"/>
  <c r="O24" i="5" s="1"/>
  <c r="J228" i="7"/>
  <c r="H23" i="5" s="1"/>
  <c r="L228" i="7"/>
  <c r="J23" i="5" s="1"/>
  <c r="N228" i="7"/>
  <c r="L23" i="5" s="1"/>
  <c r="O228" i="7"/>
  <c r="M23" i="5" s="1"/>
  <c r="P228" i="7"/>
  <c r="N23" i="5" s="1"/>
  <c r="Q228" i="7"/>
  <c r="O23" i="5" s="1"/>
  <c r="M216" i="7"/>
  <c r="M228" i="7" s="1"/>
  <c r="K23" i="5" s="1"/>
  <c r="K216" i="7"/>
  <c r="K228" i="7" s="1"/>
  <c r="I23" i="5" s="1"/>
  <c r="K215" i="7"/>
  <c r="I22" i="5" s="1"/>
  <c r="L215" i="7"/>
  <c r="J22" i="5" s="1"/>
  <c r="M215" i="7"/>
  <c r="K22" i="5" s="1"/>
  <c r="N215" i="7"/>
  <c r="L22" i="5" s="1"/>
  <c r="O215" i="7"/>
  <c r="M22" i="5" s="1"/>
  <c r="P215" i="7"/>
  <c r="N22" i="5" s="1"/>
  <c r="Q215" i="7"/>
  <c r="J205" i="7"/>
  <c r="J215" i="7" s="1"/>
  <c r="H22" i="5" s="1"/>
  <c r="J202" i="7"/>
  <c r="H21" i="5" s="1"/>
  <c r="L202" i="7"/>
  <c r="J21" i="5" s="1"/>
  <c r="M202" i="7"/>
  <c r="K21" i="5" s="1"/>
  <c r="N202" i="7"/>
  <c r="L21" i="5" s="1"/>
  <c r="O202" i="7"/>
  <c r="M21" i="5" s="1"/>
  <c r="P202" i="7"/>
  <c r="N21" i="5" s="1"/>
  <c r="Q202" i="7"/>
  <c r="O21" i="5" s="1"/>
  <c r="K190" i="7"/>
  <c r="K202" i="7" s="1"/>
  <c r="I21" i="5" s="1"/>
  <c r="J189" i="7"/>
  <c r="H20" i="5" s="1"/>
  <c r="L189" i="7"/>
  <c r="J20" i="5" s="1"/>
  <c r="M189" i="7"/>
  <c r="K20" i="5" s="1"/>
  <c r="N189" i="7"/>
  <c r="L20" i="5" s="1"/>
  <c r="O189" i="7"/>
  <c r="M20" i="5" s="1"/>
  <c r="P189" i="7"/>
  <c r="N20" i="5" s="1"/>
  <c r="Q189" i="7"/>
  <c r="O20" i="5" s="1"/>
  <c r="K176" i="7"/>
  <c r="I19" i="5" s="1"/>
  <c r="L176" i="7"/>
  <c r="J19" i="5" s="1"/>
  <c r="M176" i="7"/>
  <c r="K19" i="5" s="1"/>
  <c r="N176" i="7"/>
  <c r="L19" i="5" s="1"/>
  <c r="O176" i="7"/>
  <c r="M19" i="5" s="1"/>
  <c r="P176" i="7"/>
  <c r="N19" i="5" s="1"/>
  <c r="Q176" i="7"/>
  <c r="O19" i="5" s="1"/>
  <c r="K177" i="7"/>
  <c r="K189" i="7" s="1"/>
  <c r="I20" i="5" s="1"/>
  <c r="J164" i="7"/>
  <c r="J176" i="7" s="1"/>
  <c r="H19" i="5" s="1"/>
  <c r="J163" i="7"/>
  <c r="H18" i="5" s="1"/>
  <c r="K163" i="7"/>
  <c r="I18" i="5" s="1"/>
  <c r="L163" i="7"/>
  <c r="J18" i="5" s="1"/>
  <c r="M163" i="7"/>
  <c r="K18" i="5" s="1"/>
  <c r="N163" i="7"/>
  <c r="L18" i="5" s="1"/>
  <c r="O163" i="7"/>
  <c r="M18" i="5" s="1"/>
  <c r="P163" i="7"/>
  <c r="N18" i="5" s="1"/>
  <c r="Q163" i="7"/>
  <c r="O18" i="5" s="1"/>
  <c r="K150" i="7"/>
  <c r="I17" i="5" s="1"/>
  <c r="L150" i="7"/>
  <c r="J17" i="5" s="1"/>
  <c r="M150" i="7"/>
  <c r="K17" i="5" s="1"/>
  <c r="N150" i="7"/>
  <c r="L17" i="5" s="1"/>
  <c r="P150" i="7"/>
  <c r="N17" i="5" s="1"/>
  <c r="Q150" i="7"/>
  <c r="O17" i="5" s="1"/>
  <c r="O144" i="7"/>
  <c r="O150" i="7" s="1"/>
  <c r="M17" i="5" s="1"/>
  <c r="J140" i="7"/>
  <c r="J150" i="7" s="1"/>
  <c r="H17" i="5" s="1"/>
  <c r="J137" i="7"/>
  <c r="H16" i="5" s="1"/>
  <c r="K137" i="7"/>
  <c r="I16" i="5" s="1"/>
  <c r="L137" i="7"/>
  <c r="J16" i="5" s="1"/>
  <c r="M137" i="7"/>
  <c r="K16" i="5" s="1"/>
  <c r="N137" i="7"/>
  <c r="L16" i="5" s="1"/>
  <c r="P137" i="7"/>
  <c r="N16" i="5" s="1"/>
  <c r="Q137" i="7"/>
  <c r="O16" i="5" s="1"/>
  <c r="O132" i="7"/>
  <c r="O137" i="7" s="1"/>
  <c r="M16" i="5" s="1"/>
  <c r="J124" i="7"/>
  <c r="H15" i="5" s="1"/>
  <c r="K124" i="7"/>
  <c r="I15" i="5" s="1"/>
  <c r="L124" i="7"/>
  <c r="J15" i="5" s="1"/>
  <c r="M124" i="7"/>
  <c r="K15" i="5" s="1"/>
  <c r="N124" i="7"/>
  <c r="L15" i="5" s="1"/>
  <c r="O124" i="7"/>
  <c r="M15" i="5" s="1"/>
  <c r="P124" i="7"/>
  <c r="N15" i="5" s="1"/>
  <c r="Q124" i="7"/>
  <c r="O15" i="5" s="1"/>
  <c r="J111" i="7"/>
  <c r="H14" i="5" s="1"/>
  <c r="K111" i="7"/>
  <c r="I14" i="5" s="1"/>
  <c r="L111" i="7"/>
  <c r="J14" i="5" s="1"/>
  <c r="M111" i="7"/>
  <c r="K14" i="5" s="1"/>
  <c r="N111" i="7"/>
  <c r="L14" i="5" s="1"/>
  <c r="O111" i="7"/>
  <c r="M14" i="5" s="1"/>
  <c r="P111" i="7"/>
  <c r="N14" i="5" s="1"/>
  <c r="Q111" i="7"/>
  <c r="O14" i="5" s="1"/>
  <c r="L98" i="7"/>
  <c r="J13" i="5" s="1"/>
  <c r="M98" i="7"/>
  <c r="K13" i="5" s="1"/>
  <c r="N98" i="7"/>
  <c r="L13" i="5" s="1"/>
  <c r="O98" i="7"/>
  <c r="M13" i="5" s="1"/>
  <c r="P98" i="7"/>
  <c r="N13" i="5" s="1"/>
  <c r="Q98" i="7"/>
  <c r="O13" i="5" s="1"/>
  <c r="J88" i="7"/>
  <c r="K86" i="7"/>
  <c r="K98" i="7" s="1"/>
  <c r="I13" i="5" s="1"/>
  <c r="J86" i="7"/>
  <c r="J85" i="7"/>
  <c r="H12" i="5" s="1"/>
  <c r="K85" i="7"/>
  <c r="I12" i="5" s="1"/>
  <c r="L85" i="7"/>
  <c r="J12" i="5" s="1"/>
  <c r="M85" i="7"/>
  <c r="K12" i="5" s="1"/>
  <c r="N85" i="7"/>
  <c r="L12" i="5" s="1"/>
  <c r="O85" i="7"/>
  <c r="M12" i="5" s="1"/>
  <c r="P85" i="7"/>
  <c r="N12" i="5" s="1"/>
  <c r="Q85" i="7"/>
  <c r="O12" i="5" s="1"/>
  <c r="J72" i="7"/>
  <c r="H11" i="5" s="1"/>
  <c r="K72" i="7"/>
  <c r="I11" i="5" s="1"/>
  <c r="L72" i="7"/>
  <c r="J11" i="5" s="1"/>
  <c r="M72" i="7"/>
  <c r="K11" i="5" s="1"/>
  <c r="N72" i="7"/>
  <c r="L11" i="5" s="1"/>
  <c r="O72" i="7"/>
  <c r="M11" i="5" s="1"/>
  <c r="P72" i="7"/>
  <c r="N11" i="5" s="1"/>
  <c r="Q72" i="7"/>
  <c r="O11" i="5" s="1"/>
  <c r="J59" i="7"/>
  <c r="H10" i="5" s="1"/>
  <c r="K59" i="7"/>
  <c r="I10" i="5" s="1"/>
  <c r="L59" i="7"/>
  <c r="J10" i="5" s="1"/>
  <c r="M59" i="7"/>
  <c r="K10" i="5" s="1"/>
  <c r="N59" i="7"/>
  <c r="L10" i="5" s="1"/>
  <c r="O59" i="7"/>
  <c r="M10" i="5" s="1"/>
  <c r="P59" i="7"/>
  <c r="N10" i="5" s="1"/>
  <c r="Q59" i="7"/>
  <c r="O10" i="5" s="1"/>
  <c r="J46" i="7"/>
  <c r="H9" i="5" s="1"/>
  <c r="K46" i="7"/>
  <c r="I9" i="5" s="1"/>
  <c r="L46" i="7"/>
  <c r="J9" i="5" s="1"/>
  <c r="M46" i="7"/>
  <c r="K9" i="5" s="1"/>
  <c r="N46" i="7"/>
  <c r="L9" i="5" s="1"/>
  <c r="O46" i="7"/>
  <c r="M9" i="5" s="1"/>
  <c r="P46" i="7"/>
  <c r="N9" i="5" s="1"/>
  <c r="Q46" i="7"/>
  <c r="O9" i="5" s="1"/>
  <c r="J33" i="7"/>
  <c r="H8" i="5" s="1"/>
  <c r="K33" i="7"/>
  <c r="I8" i="5" s="1"/>
  <c r="L33" i="7"/>
  <c r="J8" i="5" s="1"/>
  <c r="M33" i="7"/>
  <c r="K8" i="5" s="1"/>
  <c r="N33" i="7"/>
  <c r="L8" i="5" s="1"/>
  <c r="O33" i="7"/>
  <c r="M8" i="5" s="1"/>
  <c r="P33" i="7"/>
  <c r="N8" i="5" s="1"/>
  <c r="Q33" i="7"/>
  <c r="O8" i="5" s="1"/>
  <c r="J20" i="7"/>
  <c r="K20" i="7"/>
  <c r="L20" i="7"/>
  <c r="M20" i="7"/>
  <c r="K7" i="5" s="1"/>
  <c r="N20" i="7"/>
  <c r="O20" i="7"/>
  <c r="P20" i="7"/>
  <c r="Q20" i="7"/>
  <c r="O7" i="5" s="1"/>
  <c r="E22" i="5"/>
  <c r="I319" i="7"/>
  <c r="G30" i="5" s="1"/>
  <c r="H319" i="7"/>
  <c r="F30" i="5" s="1"/>
  <c r="G319" i="7"/>
  <c r="E30" i="5" s="1"/>
  <c r="F319" i="7"/>
  <c r="I306" i="7"/>
  <c r="G29" i="5" s="1"/>
  <c r="H306" i="7"/>
  <c r="F29" i="5" s="1"/>
  <c r="G306" i="7"/>
  <c r="F306" i="7"/>
  <c r="E287" i="7"/>
  <c r="E293" i="7" s="1"/>
  <c r="C28" i="5" s="1"/>
  <c r="E301" i="7"/>
  <c r="E300" i="7"/>
  <c r="E296" i="7"/>
  <c r="E313" i="7"/>
  <c r="E307" i="7"/>
  <c r="I293" i="7"/>
  <c r="G28" i="5" s="1"/>
  <c r="H293" i="7"/>
  <c r="F28" i="5" s="1"/>
  <c r="G293" i="7"/>
  <c r="E28" i="5" s="1"/>
  <c r="F293" i="7"/>
  <c r="D28" i="5" s="1"/>
  <c r="I280" i="7"/>
  <c r="G26" i="5" s="1"/>
  <c r="H280" i="7"/>
  <c r="F26" i="5" s="1"/>
  <c r="G280" i="7"/>
  <c r="E26" i="5" s="1"/>
  <c r="F280" i="7"/>
  <c r="I267" i="7"/>
  <c r="H267" i="7"/>
  <c r="F27" i="5" s="1"/>
  <c r="G267" i="7"/>
  <c r="E27" i="5" s="1"/>
  <c r="F267" i="7"/>
  <c r="D27" i="5" s="1"/>
  <c r="I254" i="7"/>
  <c r="G25" i="5" s="1"/>
  <c r="H254" i="7"/>
  <c r="F25" i="5" s="1"/>
  <c r="F254" i="7"/>
  <c r="I241" i="7"/>
  <c r="G24" i="5" s="1"/>
  <c r="H241" i="7"/>
  <c r="G241" i="7"/>
  <c r="E24" i="5" s="1"/>
  <c r="F241" i="7"/>
  <c r="D24" i="5" s="1"/>
  <c r="I228" i="7"/>
  <c r="G23" i="5" s="1"/>
  <c r="H228" i="7"/>
  <c r="F23" i="5" s="1"/>
  <c r="G228" i="7"/>
  <c r="E23" i="5" s="1"/>
  <c r="F228" i="7"/>
  <c r="D23" i="5" s="1"/>
  <c r="I215" i="7"/>
  <c r="G22" i="5" s="1"/>
  <c r="H215" i="7"/>
  <c r="G215" i="7"/>
  <c r="F215" i="7"/>
  <c r="I202" i="7"/>
  <c r="G21" i="5" s="1"/>
  <c r="H202" i="7"/>
  <c r="F21" i="5" s="1"/>
  <c r="G202" i="7"/>
  <c r="E21" i="5" s="1"/>
  <c r="F202" i="7"/>
  <c r="I189" i="7"/>
  <c r="G20" i="5" s="1"/>
  <c r="H189" i="7"/>
  <c r="G189" i="7"/>
  <c r="E20" i="5" s="1"/>
  <c r="F189" i="7"/>
  <c r="D20" i="5" s="1"/>
  <c r="I176" i="7"/>
  <c r="H176" i="7"/>
  <c r="G176" i="7"/>
  <c r="E19" i="5" s="1"/>
  <c r="I163" i="7"/>
  <c r="G18" i="5" s="1"/>
  <c r="H163" i="7"/>
  <c r="F18" i="5" s="1"/>
  <c r="G163" i="7"/>
  <c r="F163" i="7"/>
  <c r="I150" i="7"/>
  <c r="G17" i="5" s="1"/>
  <c r="H150" i="7"/>
  <c r="F17" i="5" s="1"/>
  <c r="F150" i="7"/>
  <c r="I137" i="7"/>
  <c r="G16" i="5" s="1"/>
  <c r="H137" i="7"/>
  <c r="F16" i="5" s="1"/>
  <c r="I124" i="7"/>
  <c r="H124" i="7"/>
  <c r="F15" i="5" s="1"/>
  <c r="G124" i="7"/>
  <c r="F124" i="7"/>
  <c r="D15" i="5" s="1"/>
  <c r="I111" i="7"/>
  <c r="G14" i="5" s="1"/>
  <c r="H111" i="7"/>
  <c r="F14" i="5" s="1"/>
  <c r="G111" i="7"/>
  <c r="E14" i="5" s="1"/>
  <c r="F111" i="7"/>
  <c r="I98" i="7"/>
  <c r="G13" i="5" s="1"/>
  <c r="H98" i="7"/>
  <c r="F13" i="5" s="1"/>
  <c r="G98" i="7"/>
  <c r="F98" i="7"/>
  <c r="I85" i="7"/>
  <c r="G12" i="5" s="1"/>
  <c r="H85" i="7"/>
  <c r="F12" i="5" s="1"/>
  <c r="G85" i="7"/>
  <c r="F85" i="7"/>
  <c r="D12" i="5" s="1"/>
  <c r="I72" i="7"/>
  <c r="H72" i="7"/>
  <c r="F11" i="5" s="1"/>
  <c r="G72" i="7"/>
  <c r="F72" i="7"/>
  <c r="D11" i="5" s="1"/>
  <c r="I59" i="7"/>
  <c r="G10" i="5" s="1"/>
  <c r="H59" i="7"/>
  <c r="F10" i="5" s="1"/>
  <c r="G59" i="7"/>
  <c r="E10" i="5" s="1"/>
  <c r="F59" i="7"/>
  <c r="I46" i="7"/>
  <c r="G9" i="5" s="1"/>
  <c r="H46" i="7"/>
  <c r="F9" i="5" s="1"/>
  <c r="G46" i="7"/>
  <c r="F46" i="7"/>
  <c r="I33" i="7"/>
  <c r="G8" i="5" s="1"/>
  <c r="H33" i="7"/>
  <c r="F33" i="7"/>
  <c r="D8" i="5" s="1"/>
  <c r="F20" i="7"/>
  <c r="D7" i="5" s="1"/>
  <c r="G20" i="7"/>
  <c r="E7" i="5" s="1"/>
  <c r="H20" i="7"/>
  <c r="F7" i="5" s="1"/>
  <c r="I20" i="7"/>
  <c r="G7" i="5" s="1"/>
  <c r="E275" i="7"/>
  <c r="E274" i="7"/>
  <c r="E261" i="7"/>
  <c r="E257" i="7"/>
  <c r="E249" i="7"/>
  <c r="E248" i="7"/>
  <c r="G242" i="7"/>
  <c r="G254" i="7" s="1"/>
  <c r="E25" i="5" s="1"/>
  <c r="E242" i="7"/>
  <c r="E237" i="7"/>
  <c r="E235" i="7"/>
  <c r="E231" i="7"/>
  <c r="E223" i="7"/>
  <c r="E222" i="7"/>
  <c r="E218" i="7"/>
  <c r="E216" i="7"/>
  <c r="E209" i="7"/>
  <c r="E205" i="7"/>
  <c r="E197" i="7"/>
  <c r="E196" i="7"/>
  <c r="E192" i="7"/>
  <c r="E190" i="7"/>
  <c r="E184" i="7"/>
  <c r="E183" i="7"/>
  <c r="E177" i="7"/>
  <c r="E171" i="7"/>
  <c r="E170" i="7"/>
  <c r="F164" i="7"/>
  <c r="F176" i="7" s="1"/>
  <c r="D19" i="5" s="1"/>
  <c r="E164" i="7"/>
  <c r="E158" i="7"/>
  <c r="E157" i="7"/>
  <c r="E145" i="7"/>
  <c r="E144" i="7"/>
  <c r="G132" i="7"/>
  <c r="G137" i="7" s="1"/>
  <c r="F132" i="7"/>
  <c r="F137" i="7" s="1"/>
  <c r="D16" i="5" s="1"/>
  <c r="E132" i="7"/>
  <c r="E131" i="7"/>
  <c r="E120" i="7"/>
  <c r="E119" i="7"/>
  <c r="E118" i="7"/>
  <c r="E106" i="7"/>
  <c r="E105" i="7"/>
  <c r="E93" i="7"/>
  <c r="E88" i="7"/>
  <c r="E81" i="7"/>
  <c r="E79" i="7"/>
  <c r="E85" i="7" s="1"/>
  <c r="E69" i="7"/>
  <c r="E68" i="7"/>
  <c r="E67" i="7"/>
  <c r="E66" i="7"/>
  <c r="E55" i="7"/>
  <c r="E54" i="7"/>
  <c r="E53" i="7"/>
  <c r="E41" i="7"/>
  <c r="E40" i="7"/>
  <c r="E46" i="7" s="1"/>
  <c r="E28" i="7"/>
  <c r="G21" i="7"/>
  <c r="G33" i="7" s="1"/>
  <c r="E8" i="5" s="1"/>
  <c r="E21" i="7"/>
  <c r="E15" i="7"/>
  <c r="E14" i="7"/>
  <c r="AL296" i="6"/>
  <c r="AK296" i="6"/>
  <c r="AI296" i="6"/>
  <c r="AG296" i="6"/>
  <c r="AC296" i="6"/>
  <c r="AB296" i="6"/>
  <c r="U296" i="6"/>
  <c r="T296" i="6"/>
  <c r="R296" i="6"/>
  <c r="O296" i="6"/>
  <c r="N296" i="6"/>
  <c r="M296" i="6"/>
  <c r="L296" i="6"/>
  <c r="K296" i="6"/>
  <c r="J296" i="6"/>
  <c r="I296" i="6"/>
  <c r="H296" i="6"/>
  <c r="G296" i="6"/>
  <c r="F296" i="6"/>
  <c r="E296" i="6"/>
  <c r="D296" i="6"/>
  <c r="AD295" i="6"/>
  <c r="V295" i="6"/>
  <c r="X295" i="6" s="1"/>
  <c r="Q295" i="6"/>
  <c r="P295" i="6"/>
  <c r="AD294" i="6"/>
  <c r="X294" i="6"/>
  <c r="P294" i="6"/>
  <c r="AD293" i="6"/>
  <c r="X293" i="6"/>
  <c r="P293" i="6"/>
  <c r="AD292" i="6"/>
  <c r="X292" i="6"/>
  <c r="P292" i="6"/>
  <c r="AD291" i="6"/>
  <c r="X291" i="6"/>
  <c r="P291" i="6"/>
  <c r="Y290" i="6"/>
  <c r="AD290" i="6" s="1"/>
  <c r="V290" i="6"/>
  <c r="S290" i="6"/>
  <c r="AS14" i="6" s="1"/>
  <c r="Q290" i="6"/>
  <c r="P290" i="6"/>
  <c r="AD289" i="6"/>
  <c r="X289" i="6"/>
  <c r="P289" i="6"/>
  <c r="AD288" i="6"/>
  <c r="X288" i="6"/>
  <c r="P288" i="6"/>
  <c r="AD287" i="6"/>
  <c r="X287" i="6"/>
  <c r="P287" i="6"/>
  <c r="AD286" i="6"/>
  <c r="X286" i="6"/>
  <c r="P286" i="6"/>
  <c r="AD285" i="6"/>
  <c r="X285" i="6"/>
  <c r="P285" i="6"/>
  <c r="AD284" i="6"/>
  <c r="X284" i="6"/>
  <c r="Q284" i="6"/>
  <c r="P284" i="6"/>
  <c r="AD283" i="6"/>
  <c r="AM283" i="6" s="1"/>
  <c r="X283" i="6"/>
  <c r="P283" i="6"/>
  <c r="AD282" i="6"/>
  <c r="AM282" i="6" s="1"/>
  <c r="X282" i="6"/>
  <c r="P282" i="6"/>
  <c r="AD281" i="6"/>
  <c r="AM281" i="6" s="1"/>
  <c r="X281" i="6"/>
  <c r="P281" i="6"/>
  <c r="AD280" i="6"/>
  <c r="AM280" i="6" s="1"/>
  <c r="X280" i="6"/>
  <c r="P280" i="6"/>
  <c r="AD279" i="6"/>
  <c r="AM279" i="6" s="1"/>
  <c r="X279" i="6"/>
  <c r="P279" i="6"/>
  <c r="AN278" i="6"/>
  <c r="Y278" i="6"/>
  <c r="AD278" i="6" s="1"/>
  <c r="X278" i="6"/>
  <c r="Q278" i="6"/>
  <c r="P278" i="6"/>
  <c r="AD277" i="6"/>
  <c r="X277" i="6"/>
  <c r="P277" i="6"/>
  <c r="AD276" i="6"/>
  <c r="AM276" i="6" s="1"/>
  <c r="X276" i="6"/>
  <c r="P276" i="6"/>
  <c r="AD275" i="6"/>
  <c r="X275" i="6"/>
  <c r="P275" i="6"/>
  <c r="AD274" i="6"/>
  <c r="X274" i="6"/>
  <c r="P274" i="6"/>
  <c r="AD273" i="6"/>
  <c r="X273" i="6"/>
  <c r="P273" i="6"/>
  <c r="AD272" i="6"/>
  <c r="Y272" i="6"/>
  <c r="X272" i="6"/>
  <c r="P272" i="6"/>
  <c r="AD271" i="6"/>
  <c r="X271" i="6"/>
  <c r="AM271" i="6" s="1"/>
  <c r="P271" i="6"/>
  <c r="AD270" i="6"/>
  <c r="X270" i="6"/>
  <c r="AM270" i="6" s="1"/>
  <c r="P270" i="6"/>
  <c r="AD269" i="6"/>
  <c r="X269" i="6"/>
  <c r="AM269" i="6" s="1"/>
  <c r="P269" i="6"/>
  <c r="AD268" i="6"/>
  <c r="X268" i="6"/>
  <c r="AM268" i="6" s="1"/>
  <c r="P268" i="6"/>
  <c r="AE267" i="6"/>
  <c r="Y267" i="6"/>
  <c r="AD267" i="6" s="1"/>
  <c r="V267" i="6"/>
  <c r="X267" i="6" s="1"/>
  <c r="AM267" i="6" s="1"/>
  <c r="P267" i="6"/>
  <c r="AJ266" i="6"/>
  <c r="Y266" i="6"/>
  <c r="AD266" i="6" s="1"/>
  <c r="V266" i="6"/>
  <c r="Q266" i="6"/>
  <c r="P266" i="6"/>
  <c r="AD265" i="6"/>
  <c r="X265" i="6"/>
  <c r="P265" i="6"/>
  <c r="AD264" i="6"/>
  <c r="X264" i="6"/>
  <c r="P264" i="6"/>
  <c r="AD263" i="6"/>
  <c r="X263" i="6"/>
  <c r="P263" i="6"/>
  <c r="AD262" i="6"/>
  <c r="AM262" i="6" s="1"/>
  <c r="Y262" i="6"/>
  <c r="X262" i="6"/>
  <c r="P262" i="6"/>
  <c r="AM261" i="6"/>
  <c r="AD261" i="6"/>
  <c r="X261" i="6"/>
  <c r="P261" i="6"/>
  <c r="AM260" i="6"/>
  <c r="AD260" i="6"/>
  <c r="X260" i="6"/>
  <c r="P260" i="6"/>
  <c r="AM259" i="6"/>
  <c r="AD259" i="6"/>
  <c r="X259" i="6"/>
  <c r="P259" i="6"/>
  <c r="AM258" i="6"/>
  <c r="AD258" i="6"/>
  <c r="X258" i="6"/>
  <c r="P258" i="6"/>
  <c r="AM257" i="6"/>
  <c r="AD257" i="6"/>
  <c r="X257" i="6"/>
  <c r="P257" i="6"/>
  <c r="AM256" i="6"/>
  <c r="AD256" i="6"/>
  <c r="X256" i="6"/>
  <c r="P256" i="6"/>
  <c r="AN255" i="6"/>
  <c r="Y255" i="6"/>
  <c r="AD255" i="6" s="1"/>
  <c r="X255" i="6"/>
  <c r="V255" i="6"/>
  <c r="Q255" i="6"/>
  <c r="AQ73" i="6" s="1"/>
  <c r="P255" i="6"/>
  <c r="AN254" i="6"/>
  <c r="Y254" i="6"/>
  <c r="AD254" i="6" s="1"/>
  <c r="X254" i="6"/>
  <c r="V254" i="6"/>
  <c r="Q254" i="6"/>
  <c r="P254" i="6"/>
  <c r="AM253" i="6"/>
  <c r="AD253" i="6"/>
  <c r="X253" i="6"/>
  <c r="P253" i="6"/>
  <c r="AM252" i="6"/>
  <c r="AD252" i="6"/>
  <c r="X252" i="6"/>
  <c r="P252" i="6"/>
  <c r="AM251" i="6"/>
  <c r="AD251" i="6"/>
  <c r="X251" i="6"/>
  <c r="P251" i="6"/>
  <c r="AM250" i="6"/>
  <c r="AD250" i="6"/>
  <c r="X250" i="6"/>
  <c r="P250" i="6"/>
  <c r="AM249" i="6"/>
  <c r="AD249" i="6"/>
  <c r="X249" i="6"/>
  <c r="P249" i="6"/>
  <c r="AM248" i="6"/>
  <c r="AD248" i="6"/>
  <c r="X248" i="6"/>
  <c r="P248" i="6"/>
  <c r="AM247" i="6"/>
  <c r="AD247" i="6"/>
  <c r="X247" i="6"/>
  <c r="P247" i="6"/>
  <c r="AM246" i="6"/>
  <c r="AD246" i="6"/>
  <c r="X246" i="6"/>
  <c r="P246" i="6"/>
  <c r="AM245" i="6"/>
  <c r="AD245" i="6"/>
  <c r="X245" i="6"/>
  <c r="P245" i="6"/>
  <c r="AM244" i="6"/>
  <c r="AD244" i="6"/>
  <c r="X244" i="6"/>
  <c r="P244" i="6"/>
  <c r="AM243" i="6"/>
  <c r="AD243" i="6"/>
  <c r="X243" i="6"/>
  <c r="P243" i="6"/>
  <c r="AN242" i="6"/>
  <c r="Y242" i="6"/>
  <c r="AD242" i="6" s="1"/>
  <c r="X242" i="6"/>
  <c r="Q242" i="6"/>
  <c r="P242" i="6"/>
  <c r="AD241" i="6"/>
  <c r="X241" i="6"/>
  <c r="P241" i="6"/>
  <c r="AD240" i="6"/>
  <c r="AM240" i="6" s="1"/>
  <c r="X240" i="6"/>
  <c r="P240" i="6"/>
  <c r="AD239" i="6"/>
  <c r="X239" i="6"/>
  <c r="P239" i="6"/>
  <c r="AE238" i="6"/>
  <c r="Y238" i="6"/>
  <c r="AD238" i="6" s="1"/>
  <c r="X238" i="6"/>
  <c r="P238" i="6"/>
  <c r="AD237" i="6"/>
  <c r="X237" i="6"/>
  <c r="AM237" i="6" s="1"/>
  <c r="P237" i="6"/>
  <c r="AD236" i="6"/>
  <c r="X236" i="6"/>
  <c r="P236" i="6"/>
  <c r="AD235" i="6"/>
  <c r="X235" i="6"/>
  <c r="P235" i="6"/>
  <c r="AD234" i="6"/>
  <c r="X234" i="6"/>
  <c r="P234" i="6"/>
  <c r="AD233" i="6"/>
  <c r="X233" i="6"/>
  <c r="AM233" i="6" s="1"/>
  <c r="P233" i="6"/>
  <c r="AD232" i="6"/>
  <c r="X232" i="6"/>
  <c r="P232" i="6"/>
  <c r="Y231" i="6"/>
  <c r="AD231" i="6" s="1"/>
  <c r="V231" i="6"/>
  <c r="X231" i="6" s="1"/>
  <c r="Q231" i="6"/>
  <c r="P231" i="6"/>
  <c r="AN230" i="6"/>
  <c r="Y230" i="6"/>
  <c r="AD230" i="6" s="1"/>
  <c r="W230" i="6"/>
  <c r="X230" i="6" s="1"/>
  <c r="V230" i="6"/>
  <c r="Q230" i="6"/>
  <c r="P230" i="6"/>
  <c r="AD229" i="6"/>
  <c r="X229" i="6"/>
  <c r="P229" i="6"/>
  <c r="AD228" i="6"/>
  <c r="X228" i="6"/>
  <c r="P228" i="6"/>
  <c r="AD227" i="6"/>
  <c r="X227" i="6"/>
  <c r="AM227" i="6" s="1"/>
  <c r="P227" i="6"/>
  <c r="AD226" i="6"/>
  <c r="X226" i="6"/>
  <c r="P226" i="6"/>
  <c r="AD225" i="6"/>
  <c r="X225" i="6"/>
  <c r="P225" i="6"/>
  <c r="AH224" i="6"/>
  <c r="AF224" i="6"/>
  <c r="AA224" i="6"/>
  <c r="Y224" i="6"/>
  <c r="AD224" i="6" s="1"/>
  <c r="W224" i="6"/>
  <c r="V224" i="6"/>
  <c r="AV71" i="6" s="1"/>
  <c r="Q224" i="6"/>
  <c r="P224" i="6"/>
  <c r="AD223" i="6"/>
  <c r="X223" i="6"/>
  <c r="P223" i="6"/>
  <c r="AD222" i="6"/>
  <c r="X222" i="6"/>
  <c r="P222" i="6"/>
  <c r="AD221" i="6"/>
  <c r="X221" i="6"/>
  <c r="P221" i="6"/>
  <c r="AN220" i="6"/>
  <c r="Y220" i="6"/>
  <c r="AD220" i="6" s="1"/>
  <c r="X220" i="6"/>
  <c r="Q220" i="6"/>
  <c r="P220" i="6"/>
  <c r="AD219" i="6"/>
  <c r="X219" i="6"/>
  <c r="P219" i="6"/>
  <c r="AD218" i="6"/>
  <c r="Y218" i="6"/>
  <c r="X218" i="6"/>
  <c r="Q218" i="6"/>
  <c r="P218" i="6"/>
  <c r="AD217" i="6"/>
  <c r="X217" i="6"/>
  <c r="AM217" i="6" s="1"/>
  <c r="P217" i="6"/>
  <c r="AD216" i="6"/>
  <c r="AM216" i="6" s="1"/>
  <c r="X216" i="6"/>
  <c r="P216" i="6"/>
  <c r="AD215" i="6"/>
  <c r="X215" i="6"/>
  <c r="P215" i="6"/>
  <c r="Y214" i="6"/>
  <c r="AD214" i="6" s="1"/>
  <c r="X214" i="6"/>
  <c r="Q214" i="6"/>
  <c r="AQ70" i="6" s="1"/>
  <c r="P214" i="6"/>
  <c r="AD213" i="6"/>
  <c r="X213" i="6"/>
  <c r="P213" i="6"/>
  <c r="AD212" i="6"/>
  <c r="X212" i="6"/>
  <c r="P212" i="6"/>
  <c r="AD211" i="6"/>
  <c r="X211" i="6"/>
  <c r="P211" i="6"/>
  <c r="AD210" i="6"/>
  <c r="X210" i="6"/>
  <c r="P210" i="6"/>
  <c r="AD209" i="6"/>
  <c r="X209" i="6"/>
  <c r="P209" i="6"/>
  <c r="AD208" i="6"/>
  <c r="X208" i="6"/>
  <c r="P208" i="6"/>
  <c r="AN207" i="6"/>
  <c r="Y207" i="6"/>
  <c r="AD207" i="6" s="1"/>
  <c r="AM207" i="6" s="1"/>
  <c r="X207" i="6"/>
  <c r="P207" i="6"/>
  <c r="AN206" i="6"/>
  <c r="Y206" i="6"/>
  <c r="AD206" i="6" s="1"/>
  <c r="X206" i="6"/>
  <c r="P206" i="6"/>
  <c r="AD205" i="6"/>
  <c r="X205" i="6"/>
  <c r="P205" i="6"/>
  <c r="AD204" i="6"/>
  <c r="X204" i="6"/>
  <c r="P204" i="6"/>
  <c r="AD203" i="6"/>
  <c r="X203" i="6"/>
  <c r="P203" i="6"/>
  <c r="AN202" i="6"/>
  <c r="Y202" i="6"/>
  <c r="AD202" i="6" s="1"/>
  <c r="X202" i="6"/>
  <c r="P202" i="6"/>
  <c r="AD201" i="6"/>
  <c r="X201" i="6"/>
  <c r="P201" i="6"/>
  <c r="AN200" i="6"/>
  <c r="AH200" i="6"/>
  <c r="AH296" i="6" s="1"/>
  <c r="AF200" i="6"/>
  <c r="Y200" i="6"/>
  <c r="AD200" i="6" s="1"/>
  <c r="X200" i="6"/>
  <c r="P200" i="6"/>
  <c r="AD199" i="6"/>
  <c r="X199" i="6"/>
  <c r="P199" i="6"/>
  <c r="AD198" i="6"/>
  <c r="X198" i="6"/>
  <c r="P198" i="6"/>
  <c r="AD197" i="6"/>
  <c r="X197" i="6"/>
  <c r="P197" i="6"/>
  <c r="AD196" i="6"/>
  <c r="X196" i="6"/>
  <c r="P196" i="6"/>
  <c r="AD195" i="6"/>
  <c r="AM195" i="6" s="1"/>
  <c r="X195" i="6"/>
  <c r="P195" i="6"/>
  <c r="AN194" i="6"/>
  <c r="Y194" i="6"/>
  <c r="AD194" i="6" s="1"/>
  <c r="V194" i="6"/>
  <c r="X194" i="6" s="1"/>
  <c r="Q194" i="6"/>
  <c r="AQ68" i="6" s="1"/>
  <c r="P194" i="6"/>
  <c r="AD193" i="6"/>
  <c r="AM193" i="6" s="1"/>
  <c r="X193" i="6"/>
  <c r="P193" i="6"/>
  <c r="AD192" i="6"/>
  <c r="AM192" i="6" s="1"/>
  <c r="X192" i="6"/>
  <c r="P192" i="6"/>
  <c r="AD191" i="6"/>
  <c r="AM191" i="6" s="1"/>
  <c r="X191" i="6"/>
  <c r="P191" i="6"/>
  <c r="AE190" i="6"/>
  <c r="Y190" i="6"/>
  <c r="AD190" i="6" s="1"/>
  <c r="V190" i="6"/>
  <c r="X190" i="6" s="1"/>
  <c r="Q190" i="6"/>
  <c r="P190" i="6"/>
  <c r="AD189" i="6"/>
  <c r="X189" i="6"/>
  <c r="P189" i="6"/>
  <c r="AD188" i="6"/>
  <c r="X188" i="6"/>
  <c r="P188" i="6"/>
  <c r="AD187" i="6"/>
  <c r="X187" i="6"/>
  <c r="P187" i="6"/>
  <c r="AD186" i="6"/>
  <c r="AM186" i="6" s="1"/>
  <c r="X186" i="6"/>
  <c r="P186" i="6"/>
  <c r="AD185" i="6"/>
  <c r="X185" i="6"/>
  <c r="P185" i="6"/>
  <c r="AD184" i="6"/>
  <c r="X184" i="6"/>
  <c r="P184" i="6"/>
  <c r="AN183" i="6"/>
  <c r="Y183" i="6"/>
  <c r="AD183" i="6" s="1"/>
  <c r="V183" i="6"/>
  <c r="X183" i="6" s="1"/>
  <c r="P183" i="6"/>
  <c r="AN182" i="6"/>
  <c r="Y182" i="6"/>
  <c r="AD182" i="6" s="1"/>
  <c r="X182" i="6"/>
  <c r="Q182" i="6"/>
  <c r="P182" i="6"/>
  <c r="AD181" i="6"/>
  <c r="X181" i="6"/>
  <c r="P181" i="6"/>
  <c r="AD180" i="6"/>
  <c r="X180" i="6"/>
  <c r="P180" i="6"/>
  <c r="AD179" i="6"/>
  <c r="X179" i="6"/>
  <c r="P179" i="6"/>
  <c r="AN178" i="6"/>
  <c r="Y178" i="6"/>
  <c r="AD178" i="6" s="1"/>
  <c r="X178" i="6"/>
  <c r="Q178" i="6"/>
  <c r="P178" i="6"/>
  <c r="AD177" i="6"/>
  <c r="X177" i="6"/>
  <c r="P177" i="6"/>
  <c r="AF176" i="6"/>
  <c r="BC8" i="6" s="1"/>
  <c r="Y176" i="6"/>
  <c r="AD176" i="6" s="1"/>
  <c r="AM176" i="6" s="1"/>
  <c r="X176" i="6"/>
  <c r="Q176" i="6"/>
  <c r="P176" i="6"/>
  <c r="AD175" i="6"/>
  <c r="X175" i="6"/>
  <c r="P175" i="6"/>
  <c r="AD174" i="6"/>
  <c r="X174" i="6"/>
  <c r="P174" i="6"/>
  <c r="AD173" i="6"/>
  <c r="X173" i="6"/>
  <c r="P173" i="6"/>
  <c r="AD172" i="6"/>
  <c r="X172" i="6"/>
  <c r="P172" i="6"/>
  <c r="Y171" i="6"/>
  <c r="AD171" i="6" s="1"/>
  <c r="X171" i="6"/>
  <c r="V171" i="6"/>
  <c r="Q171" i="6"/>
  <c r="P171" i="6"/>
  <c r="AN170" i="6"/>
  <c r="Y170" i="6"/>
  <c r="AD170" i="6" s="1"/>
  <c r="W170" i="6"/>
  <c r="V170" i="6"/>
  <c r="X170" i="6" s="1"/>
  <c r="Q170" i="6"/>
  <c r="P170" i="6"/>
  <c r="AD169" i="6"/>
  <c r="X169" i="6"/>
  <c r="P169" i="6"/>
  <c r="AD168" i="6"/>
  <c r="X168" i="6"/>
  <c r="P168" i="6"/>
  <c r="AD167" i="6"/>
  <c r="X167" i="6"/>
  <c r="P167" i="6"/>
  <c r="AD166" i="6"/>
  <c r="X166" i="6"/>
  <c r="P166" i="6"/>
  <c r="AD165" i="6"/>
  <c r="X165" i="6"/>
  <c r="P165" i="6"/>
  <c r="AF164" i="6"/>
  <c r="Y164" i="6"/>
  <c r="AD164" i="6" s="1"/>
  <c r="X164" i="6"/>
  <c r="Q164" i="6"/>
  <c r="P164" i="6"/>
  <c r="AD163" i="6"/>
  <c r="X163" i="6"/>
  <c r="P163" i="6"/>
  <c r="AD162" i="6"/>
  <c r="X162" i="6"/>
  <c r="P162" i="6"/>
  <c r="AD161" i="6"/>
  <c r="AM161" i="6" s="1"/>
  <c r="X161" i="6"/>
  <c r="P161" i="6"/>
  <c r="AD160" i="6"/>
  <c r="AM160" i="6" s="1"/>
  <c r="X160" i="6"/>
  <c r="P160" i="6"/>
  <c r="AN159" i="6"/>
  <c r="AD159" i="6"/>
  <c r="Y159" i="6"/>
  <c r="W159" i="6"/>
  <c r="V159" i="6"/>
  <c r="X159" i="6" s="1"/>
  <c r="Q159" i="6"/>
  <c r="AQ65" i="6" s="1"/>
  <c r="P159" i="6"/>
  <c r="Y158" i="6"/>
  <c r="AD158" i="6" s="1"/>
  <c r="W158" i="6"/>
  <c r="AT14" i="6" s="1"/>
  <c r="Q158" i="6"/>
  <c r="P158" i="6"/>
  <c r="AD157" i="6"/>
  <c r="AM157" i="6" s="1"/>
  <c r="X157" i="6"/>
  <c r="P157" i="6"/>
  <c r="AD156" i="6"/>
  <c r="AM156" i="6" s="1"/>
  <c r="X156" i="6"/>
  <c r="P156" i="6"/>
  <c r="AD155" i="6"/>
  <c r="AM155" i="6" s="1"/>
  <c r="X155" i="6"/>
  <c r="P155" i="6"/>
  <c r="AD154" i="6"/>
  <c r="AM154" i="6" s="1"/>
  <c r="X154" i="6"/>
  <c r="P154" i="6"/>
  <c r="AD153" i="6"/>
  <c r="AM153" i="6" s="1"/>
  <c r="X153" i="6"/>
  <c r="P153" i="6"/>
  <c r="AE152" i="6"/>
  <c r="Z152" i="6"/>
  <c r="AW8" i="6" s="1"/>
  <c r="AW20" i="6" s="1"/>
  <c r="Y152" i="6"/>
  <c r="V152" i="6"/>
  <c r="X152" i="6" s="1"/>
  <c r="Q152" i="6"/>
  <c r="P152" i="6"/>
  <c r="AD151" i="6"/>
  <c r="X151" i="6"/>
  <c r="P151" i="6"/>
  <c r="AD150" i="6"/>
  <c r="X150" i="6"/>
  <c r="P150" i="6"/>
  <c r="AD149" i="6"/>
  <c r="X149" i="6"/>
  <c r="P149" i="6"/>
  <c r="AD148" i="6"/>
  <c r="X148" i="6"/>
  <c r="P148" i="6"/>
  <c r="AN147" i="6"/>
  <c r="Y147" i="6"/>
  <c r="AD147" i="6" s="1"/>
  <c r="X147" i="6"/>
  <c r="P147" i="6"/>
  <c r="AN146" i="6"/>
  <c r="Y146" i="6"/>
  <c r="AD146" i="6" s="1"/>
  <c r="X146" i="6"/>
  <c r="Q146" i="6"/>
  <c r="AQ64" i="6" s="1"/>
  <c r="P146" i="6"/>
  <c r="AD145" i="6"/>
  <c r="X145" i="6"/>
  <c r="P145" i="6"/>
  <c r="AD144" i="6"/>
  <c r="X144" i="6"/>
  <c r="AM144" i="6" s="1"/>
  <c r="P144" i="6"/>
  <c r="AD143" i="6"/>
  <c r="X143" i="6"/>
  <c r="P143" i="6"/>
  <c r="AD142" i="6"/>
  <c r="X142" i="6"/>
  <c r="P142" i="6"/>
  <c r="AD141" i="6"/>
  <c r="X141" i="6"/>
  <c r="P141" i="6"/>
  <c r="AD140" i="6"/>
  <c r="X140" i="6"/>
  <c r="AM140" i="6" s="1"/>
  <c r="P140" i="6"/>
  <c r="AD139" i="6"/>
  <c r="X139" i="6"/>
  <c r="P139" i="6"/>
  <c r="AD138" i="6"/>
  <c r="X138" i="6"/>
  <c r="P138" i="6"/>
  <c r="AD137" i="6"/>
  <c r="X137" i="6"/>
  <c r="P137" i="6"/>
  <c r="AD136" i="6"/>
  <c r="X136" i="6"/>
  <c r="AM136" i="6" s="1"/>
  <c r="P136" i="6"/>
  <c r="AN135" i="6"/>
  <c r="Y135" i="6"/>
  <c r="AD135" i="6" s="1"/>
  <c r="X135" i="6"/>
  <c r="V135" i="6"/>
  <c r="Q135" i="6"/>
  <c r="P135" i="6"/>
  <c r="AJ134" i="6"/>
  <c r="Y134" i="6"/>
  <c r="AD134" i="6" s="1"/>
  <c r="V134" i="6"/>
  <c r="X134" i="6" s="1"/>
  <c r="Q134" i="6"/>
  <c r="P134" i="6"/>
  <c r="AD133" i="6"/>
  <c r="X133" i="6"/>
  <c r="P133" i="6"/>
  <c r="AD132" i="6"/>
  <c r="X132" i="6"/>
  <c r="AM132" i="6" s="1"/>
  <c r="P132" i="6"/>
  <c r="AD131" i="6"/>
  <c r="X131" i="6"/>
  <c r="AM131" i="6" s="1"/>
  <c r="P131" i="6"/>
  <c r="AN130" i="6"/>
  <c r="BD10" i="6" s="1"/>
  <c r="AE130" i="6"/>
  <c r="AD130" i="6"/>
  <c r="X130" i="6"/>
  <c r="P130" i="6"/>
  <c r="AD129" i="6"/>
  <c r="X129" i="6"/>
  <c r="P129" i="6"/>
  <c r="AD128" i="6"/>
  <c r="AM128" i="6" s="1"/>
  <c r="X128" i="6"/>
  <c r="P128" i="6"/>
  <c r="AD127" i="6"/>
  <c r="X127" i="6"/>
  <c r="P127" i="6"/>
  <c r="AD126" i="6"/>
  <c r="X126" i="6"/>
  <c r="P126" i="6"/>
  <c r="AD125" i="6"/>
  <c r="X125" i="6"/>
  <c r="P125" i="6"/>
  <c r="AD124" i="6"/>
  <c r="AM124" i="6" s="1"/>
  <c r="X124" i="6"/>
  <c r="P124" i="6"/>
  <c r="AJ123" i="6"/>
  <c r="AJ296" i="6" s="1"/>
  <c r="AA123" i="6"/>
  <c r="AR34" i="6" s="1"/>
  <c r="Z123" i="6"/>
  <c r="Y123" i="6"/>
  <c r="V123" i="6"/>
  <c r="X123" i="6" s="1"/>
  <c r="Q123" i="6"/>
  <c r="P123" i="6"/>
  <c r="AN122" i="6"/>
  <c r="AD122" i="6"/>
  <c r="Y122" i="6"/>
  <c r="V122" i="6"/>
  <c r="X122" i="6" s="1"/>
  <c r="Q122" i="6"/>
  <c r="AQ62" i="6" s="1"/>
  <c r="P122" i="6"/>
  <c r="AD121" i="6"/>
  <c r="X121" i="6"/>
  <c r="AM121" i="6" s="1"/>
  <c r="P121" i="6"/>
  <c r="AD120" i="6"/>
  <c r="X120" i="6"/>
  <c r="P120" i="6"/>
  <c r="AD119" i="6"/>
  <c r="X119" i="6"/>
  <c r="P119" i="6"/>
  <c r="AD118" i="6"/>
  <c r="X118" i="6"/>
  <c r="AM118" i="6" s="1"/>
  <c r="P118" i="6"/>
  <c r="AD117" i="6"/>
  <c r="X117" i="6"/>
  <c r="AM117" i="6" s="1"/>
  <c r="P117" i="6"/>
  <c r="AD116" i="6"/>
  <c r="X116" i="6"/>
  <c r="P116" i="6"/>
  <c r="AD115" i="6"/>
  <c r="X115" i="6"/>
  <c r="P115" i="6"/>
  <c r="AD114" i="6"/>
  <c r="X114" i="6"/>
  <c r="AM114" i="6" s="1"/>
  <c r="P114" i="6"/>
  <c r="AD113" i="6"/>
  <c r="X113" i="6"/>
  <c r="AM113" i="6" s="1"/>
  <c r="P113" i="6"/>
  <c r="Y112" i="6"/>
  <c r="AD112" i="6" s="1"/>
  <c r="X112" i="6"/>
  <c r="P112" i="6"/>
  <c r="AN111" i="6"/>
  <c r="Y111" i="6"/>
  <c r="AD111" i="6" s="1"/>
  <c r="V111" i="6"/>
  <c r="X111" i="6" s="1"/>
  <c r="Q111" i="6"/>
  <c r="P111" i="6"/>
  <c r="AN110" i="6"/>
  <c r="Y110" i="6"/>
  <c r="AD110" i="6" s="1"/>
  <c r="V110" i="6"/>
  <c r="S110" i="6"/>
  <c r="Q110" i="6"/>
  <c r="P110" i="6"/>
  <c r="AD109" i="6"/>
  <c r="X109" i="6"/>
  <c r="P109" i="6"/>
  <c r="AD108" i="6"/>
  <c r="X108" i="6"/>
  <c r="P108" i="6"/>
  <c r="AD107" i="6"/>
  <c r="X107" i="6"/>
  <c r="P107" i="6"/>
  <c r="AD106" i="6"/>
  <c r="X106" i="6"/>
  <c r="P106" i="6"/>
  <c r="AD105" i="6"/>
  <c r="X105" i="6"/>
  <c r="P105" i="6"/>
  <c r="AD104" i="6"/>
  <c r="X104" i="6"/>
  <c r="P104" i="6"/>
  <c r="AD103" i="6"/>
  <c r="V103" i="6"/>
  <c r="X103" i="6" s="1"/>
  <c r="P103" i="6"/>
  <c r="AD102" i="6"/>
  <c r="X102" i="6"/>
  <c r="P102" i="6"/>
  <c r="AD101" i="6"/>
  <c r="X101" i="6"/>
  <c r="P101" i="6"/>
  <c r="AD100" i="6"/>
  <c r="X100" i="6"/>
  <c r="P100" i="6"/>
  <c r="Y99" i="6"/>
  <c r="AD99" i="6" s="1"/>
  <c r="AM99" i="6" s="1"/>
  <c r="X99" i="6"/>
  <c r="Q99" i="6"/>
  <c r="P99" i="6"/>
  <c r="Y98" i="6"/>
  <c r="AD98" i="6" s="1"/>
  <c r="X98" i="6"/>
  <c r="Q98" i="6"/>
  <c r="P98" i="6"/>
  <c r="AD97" i="6"/>
  <c r="X97" i="6"/>
  <c r="P97" i="6"/>
  <c r="AD96" i="6"/>
  <c r="X96" i="6"/>
  <c r="P96" i="6"/>
  <c r="AD95" i="6"/>
  <c r="X95" i="6"/>
  <c r="P95" i="6"/>
  <c r="AD94" i="6"/>
  <c r="X94" i="6"/>
  <c r="P94" i="6"/>
  <c r="AD93" i="6"/>
  <c r="X93" i="6"/>
  <c r="P93" i="6"/>
  <c r="AD92" i="6"/>
  <c r="X92" i="6"/>
  <c r="P92" i="6"/>
  <c r="AD91" i="6"/>
  <c r="X91" i="6"/>
  <c r="P91" i="6"/>
  <c r="AD90" i="6"/>
  <c r="X90" i="6"/>
  <c r="P90" i="6"/>
  <c r="AD89" i="6"/>
  <c r="X89" i="6"/>
  <c r="P89" i="6"/>
  <c r="AD88" i="6"/>
  <c r="X88" i="6"/>
  <c r="P88" i="6"/>
  <c r="Y87" i="6"/>
  <c r="AD87" i="6" s="1"/>
  <c r="X87" i="6"/>
  <c r="Q87" i="6"/>
  <c r="P87" i="6"/>
  <c r="AD86" i="6"/>
  <c r="X86" i="6"/>
  <c r="P86" i="6"/>
  <c r="AD85" i="6"/>
  <c r="X85" i="6"/>
  <c r="P85" i="6"/>
  <c r="AD84" i="6"/>
  <c r="X84" i="6"/>
  <c r="P84" i="6"/>
  <c r="AD83" i="6"/>
  <c r="X83" i="6"/>
  <c r="P83" i="6"/>
  <c r="AE82" i="6"/>
  <c r="Y82" i="6"/>
  <c r="AD82" i="6" s="1"/>
  <c r="X82" i="6"/>
  <c r="Q82" i="6"/>
  <c r="P82" i="6"/>
  <c r="AD81" i="6"/>
  <c r="X81" i="6"/>
  <c r="P81" i="6"/>
  <c r="AF80" i="6"/>
  <c r="AE80" i="6"/>
  <c r="Y80" i="6"/>
  <c r="AD80" i="6" s="1"/>
  <c r="V80" i="6"/>
  <c r="Q80" i="6"/>
  <c r="P80" i="6"/>
  <c r="AD79" i="6"/>
  <c r="X79" i="6"/>
  <c r="P79" i="6"/>
  <c r="AD78" i="6"/>
  <c r="X78" i="6"/>
  <c r="P78" i="6"/>
  <c r="AY77" i="6"/>
  <c r="AD77" i="6"/>
  <c r="X77" i="6"/>
  <c r="P77" i="6"/>
  <c r="AX76" i="6"/>
  <c r="AW76" i="6"/>
  <c r="AV76" i="6"/>
  <c r="AU76" i="6"/>
  <c r="AT76" i="6"/>
  <c r="AR76" i="6"/>
  <c r="AQ76" i="6"/>
  <c r="AN76" i="6"/>
  <c r="Y76" i="6"/>
  <c r="AD76" i="6" s="1"/>
  <c r="X76" i="6"/>
  <c r="Q76" i="6"/>
  <c r="P76" i="6"/>
  <c r="AX75" i="6"/>
  <c r="AW75" i="6"/>
  <c r="AV75" i="6"/>
  <c r="AU75" i="6"/>
  <c r="AT75" i="6"/>
  <c r="AS75" i="6"/>
  <c r="AR75" i="6"/>
  <c r="AQ75" i="6"/>
  <c r="AD75" i="6"/>
  <c r="X75" i="6"/>
  <c r="P75" i="6"/>
  <c r="AX74" i="6"/>
  <c r="AW74" i="6"/>
  <c r="AU74" i="6"/>
  <c r="AT74" i="6"/>
  <c r="AS74" i="6"/>
  <c r="AR74" i="6"/>
  <c r="AQ74" i="6"/>
  <c r="AD74" i="6"/>
  <c r="Y74" i="6"/>
  <c r="V74" i="6"/>
  <c r="X74" i="6" s="1"/>
  <c r="Q74" i="6"/>
  <c r="AQ58" i="6" s="1"/>
  <c r="P74" i="6"/>
  <c r="AX73" i="6"/>
  <c r="AW73" i="6"/>
  <c r="AV73" i="6"/>
  <c r="AU73" i="6"/>
  <c r="AT73" i="6"/>
  <c r="AS73" i="6"/>
  <c r="AR73" i="6"/>
  <c r="AD73" i="6"/>
  <c r="X73" i="6"/>
  <c r="P73" i="6"/>
  <c r="AX72" i="6"/>
  <c r="AW72" i="6"/>
  <c r="AU72" i="6"/>
  <c r="AT72" i="6"/>
  <c r="AS72" i="6"/>
  <c r="AR72" i="6"/>
  <c r="AQ72" i="6"/>
  <c r="AD72" i="6"/>
  <c r="X72" i="6"/>
  <c r="AM72" i="6" s="1"/>
  <c r="P72" i="6"/>
  <c r="AX71" i="6"/>
  <c r="AU71" i="6"/>
  <c r="AT71" i="6"/>
  <c r="AS71" i="6"/>
  <c r="AR71" i="6"/>
  <c r="AQ71" i="6"/>
  <c r="AD71" i="6"/>
  <c r="X71" i="6"/>
  <c r="P71" i="6"/>
  <c r="AX70" i="6"/>
  <c r="AW70" i="6"/>
  <c r="AV70" i="6"/>
  <c r="AU70" i="6"/>
  <c r="AT70" i="6"/>
  <c r="AS70" i="6"/>
  <c r="AR70" i="6"/>
  <c r="AN70" i="6"/>
  <c r="AD70" i="6"/>
  <c r="X70" i="6"/>
  <c r="Q70" i="6"/>
  <c r="P70" i="6"/>
  <c r="AX69" i="6"/>
  <c r="AW69" i="6"/>
  <c r="AV69" i="6"/>
  <c r="AU69" i="6"/>
  <c r="AT69" i="6"/>
  <c r="AS69" i="6"/>
  <c r="AR69" i="6"/>
  <c r="AQ69" i="6"/>
  <c r="AD69" i="6"/>
  <c r="X69" i="6"/>
  <c r="P69" i="6"/>
  <c r="AX68" i="6"/>
  <c r="AW68" i="6"/>
  <c r="AV68" i="6"/>
  <c r="AU68" i="6"/>
  <c r="AT68" i="6"/>
  <c r="AS68" i="6"/>
  <c r="AR68" i="6"/>
  <c r="AD68" i="6"/>
  <c r="X68" i="6"/>
  <c r="P68" i="6"/>
  <c r="AX67" i="6"/>
  <c r="AW67" i="6"/>
  <c r="AU67" i="6"/>
  <c r="AT67" i="6"/>
  <c r="AS67" i="6"/>
  <c r="AR67" i="6"/>
  <c r="AD67" i="6"/>
  <c r="X67" i="6"/>
  <c r="Q67" i="6"/>
  <c r="P67" i="6"/>
  <c r="AX66" i="6"/>
  <c r="AW66" i="6"/>
  <c r="AU66" i="6"/>
  <c r="AT66" i="6"/>
  <c r="AS66" i="6"/>
  <c r="AR66" i="6"/>
  <c r="AQ66" i="6"/>
  <c r="AD66" i="6"/>
  <c r="X66" i="6"/>
  <c r="P66" i="6"/>
  <c r="AX65" i="6"/>
  <c r="AW65" i="6"/>
  <c r="AV65" i="6"/>
  <c r="AU65" i="6"/>
  <c r="AT65" i="6"/>
  <c r="AS65" i="6"/>
  <c r="AR65" i="6"/>
  <c r="Y65" i="6"/>
  <c r="AD65" i="6" s="1"/>
  <c r="X65" i="6"/>
  <c r="P65" i="6"/>
  <c r="AX64" i="6"/>
  <c r="AW64" i="6"/>
  <c r="AV64" i="6"/>
  <c r="AU64" i="6"/>
  <c r="AT64" i="6"/>
  <c r="AS64" i="6"/>
  <c r="AR64" i="6"/>
  <c r="AN64" i="6"/>
  <c r="Y64" i="6"/>
  <c r="AD64" i="6" s="1"/>
  <c r="V64" i="6"/>
  <c r="X64" i="6" s="1"/>
  <c r="Q64" i="6"/>
  <c r="P64" i="6"/>
  <c r="AX63" i="6"/>
  <c r="AW63" i="6"/>
  <c r="AV63" i="6"/>
  <c r="AU63" i="6"/>
  <c r="AT63" i="6"/>
  <c r="AS63" i="6"/>
  <c r="AR63" i="6"/>
  <c r="AN63" i="6"/>
  <c r="Y63" i="6"/>
  <c r="AD63" i="6" s="1"/>
  <c r="V63" i="6"/>
  <c r="X63" i="6" s="1"/>
  <c r="Q63" i="6"/>
  <c r="P63" i="6"/>
  <c r="AX62" i="6"/>
  <c r="AW62" i="6"/>
  <c r="AV62" i="6"/>
  <c r="AU62" i="6"/>
  <c r="AT62" i="6"/>
  <c r="AS62" i="6"/>
  <c r="AR62" i="6"/>
  <c r="AN62" i="6"/>
  <c r="Y62" i="6"/>
  <c r="AD62" i="6" s="1"/>
  <c r="X62" i="6"/>
  <c r="Q62" i="6"/>
  <c r="P62" i="6"/>
  <c r="AX61" i="6"/>
  <c r="AW61" i="6"/>
  <c r="AU61" i="6"/>
  <c r="AT61" i="6"/>
  <c r="AS61" i="6"/>
  <c r="AR61" i="6"/>
  <c r="AQ61" i="6"/>
  <c r="AD61" i="6"/>
  <c r="X61" i="6"/>
  <c r="P61" i="6"/>
  <c r="AX60" i="6"/>
  <c r="AW60" i="6"/>
  <c r="AV60" i="6"/>
  <c r="AU60" i="6"/>
  <c r="AT60" i="6"/>
  <c r="AS60" i="6"/>
  <c r="AR60" i="6"/>
  <c r="AQ60" i="6"/>
  <c r="AD60" i="6"/>
  <c r="X60" i="6"/>
  <c r="P60" i="6"/>
  <c r="AX59" i="6"/>
  <c r="AW59" i="6"/>
  <c r="AU59" i="6"/>
  <c r="AT59" i="6"/>
  <c r="AS59" i="6"/>
  <c r="AR59" i="6"/>
  <c r="AD59" i="6"/>
  <c r="X59" i="6"/>
  <c r="P59" i="6"/>
  <c r="AX58" i="6"/>
  <c r="AW58" i="6"/>
  <c r="AV58" i="6"/>
  <c r="AU58" i="6"/>
  <c r="AT58" i="6"/>
  <c r="AS58" i="6"/>
  <c r="AR58" i="6"/>
  <c r="AD58" i="6"/>
  <c r="AM58" i="6" s="1"/>
  <c r="X58" i="6"/>
  <c r="P58" i="6"/>
  <c r="AX57" i="6"/>
  <c r="AW57" i="6"/>
  <c r="AU57" i="6"/>
  <c r="AT57" i="6"/>
  <c r="AS57" i="6"/>
  <c r="AR57" i="6"/>
  <c r="AD57" i="6"/>
  <c r="X57" i="6"/>
  <c r="P57" i="6"/>
  <c r="AX56" i="6"/>
  <c r="AU56" i="6"/>
  <c r="AT56" i="6"/>
  <c r="AS56" i="6"/>
  <c r="AR56" i="6"/>
  <c r="AD56" i="6"/>
  <c r="X56" i="6"/>
  <c r="P56" i="6"/>
  <c r="AX55" i="6"/>
  <c r="AW55" i="6"/>
  <c r="AV55" i="6"/>
  <c r="AU55" i="6"/>
  <c r="AT55" i="6"/>
  <c r="AS55" i="6"/>
  <c r="AR55" i="6"/>
  <c r="AD55" i="6"/>
  <c r="X55" i="6"/>
  <c r="Q55" i="6"/>
  <c r="P55" i="6"/>
  <c r="AX54" i="6"/>
  <c r="AW54" i="6"/>
  <c r="AV54" i="6"/>
  <c r="AU54" i="6"/>
  <c r="AT54" i="6"/>
  <c r="AS54" i="6"/>
  <c r="AR54" i="6"/>
  <c r="AQ54" i="6"/>
  <c r="AD54" i="6"/>
  <c r="X54" i="6"/>
  <c r="P54" i="6"/>
  <c r="AX53" i="6"/>
  <c r="AW53" i="6"/>
  <c r="AU53" i="6"/>
  <c r="AT53" i="6"/>
  <c r="AS53" i="6"/>
  <c r="AR53" i="6"/>
  <c r="AR77" i="6" s="1"/>
  <c r="AD53" i="6"/>
  <c r="X53" i="6"/>
  <c r="P53" i="6"/>
  <c r="AN52" i="6"/>
  <c r="BD16" i="6" s="1"/>
  <c r="Y52" i="6"/>
  <c r="AD52" i="6" s="1"/>
  <c r="W52" i="6"/>
  <c r="Q52" i="6"/>
  <c r="P52" i="6"/>
  <c r="AN51" i="6"/>
  <c r="Y51" i="6"/>
  <c r="AD51" i="6" s="1"/>
  <c r="X51" i="6"/>
  <c r="Q51" i="6"/>
  <c r="P51" i="6"/>
  <c r="AN50" i="6"/>
  <c r="Y50" i="6"/>
  <c r="AD50" i="6" s="1"/>
  <c r="V50" i="6"/>
  <c r="AV56" i="6" s="1"/>
  <c r="Q50" i="6"/>
  <c r="P50" i="6"/>
  <c r="AU49" i="6"/>
  <c r="AD49" i="6"/>
  <c r="X49" i="6"/>
  <c r="P49" i="6"/>
  <c r="BA48" i="6"/>
  <c r="AY48" i="6"/>
  <c r="AX48" i="6"/>
  <c r="AW48" i="6"/>
  <c r="AV48" i="6"/>
  <c r="AT48" i="6"/>
  <c r="AS48" i="6"/>
  <c r="AR48" i="6"/>
  <c r="AQ48" i="6"/>
  <c r="AD48" i="6"/>
  <c r="X48" i="6"/>
  <c r="P48" i="6"/>
  <c r="BA47" i="6"/>
  <c r="AY47" i="6"/>
  <c r="AX47" i="6"/>
  <c r="AW47" i="6"/>
  <c r="AV47" i="6"/>
  <c r="AT47" i="6"/>
  <c r="AS47" i="6"/>
  <c r="AR47" i="6"/>
  <c r="AQ47" i="6"/>
  <c r="AD47" i="6"/>
  <c r="X47" i="6"/>
  <c r="P47" i="6"/>
  <c r="BA46" i="6"/>
  <c r="AY46" i="6"/>
  <c r="AX46" i="6"/>
  <c r="AW46" i="6"/>
  <c r="AV46" i="6"/>
  <c r="AT46" i="6"/>
  <c r="AS46" i="6"/>
  <c r="AR46" i="6"/>
  <c r="AQ46" i="6"/>
  <c r="AD46" i="6"/>
  <c r="X46" i="6"/>
  <c r="AM46" i="6" s="1"/>
  <c r="P46" i="6"/>
  <c r="BA45" i="6"/>
  <c r="AY45" i="6"/>
  <c r="AX45" i="6"/>
  <c r="AW45" i="6"/>
  <c r="AV45" i="6"/>
  <c r="AT45" i="6"/>
  <c r="AS45" i="6"/>
  <c r="AR45" i="6"/>
  <c r="AQ45" i="6"/>
  <c r="AD45" i="6"/>
  <c r="X45" i="6"/>
  <c r="P45" i="6"/>
  <c r="BA44" i="6"/>
  <c r="AY44" i="6"/>
  <c r="AX44" i="6"/>
  <c r="AW44" i="6"/>
  <c r="AV44" i="6"/>
  <c r="AT44" i="6"/>
  <c r="AS44" i="6"/>
  <c r="AR44" i="6"/>
  <c r="AQ44" i="6"/>
  <c r="AD44" i="6"/>
  <c r="X44" i="6"/>
  <c r="P44" i="6"/>
  <c r="BA43" i="6"/>
  <c r="AY43" i="6"/>
  <c r="AX43" i="6"/>
  <c r="AW43" i="6"/>
  <c r="AV43" i="6"/>
  <c r="AT43" i="6"/>
  <c r="AS43" i="6"/>
  <c r="AR43" i="6"/>
  <c r="AQ43" i="6"/>
  <c r="AD43" i="6"/>
  <c r="X43" i="6"/>
  <c r="P43" i="6"/>
  <c r="BA42" i="6"/>
  <c r="AY42" i="6"/>
  <c r="AX42" i="6"/>
  <c r="AW42" i="6"/>
  <c r="AV42" i="6"/>
  <c r="AT42" i="6"/>
  <c r="AS42" i="6"/>
  <c r="AR42" i="6"/>
  <c r="AQ42" i="6"/>
  <c r="AD42" i="6"/>
  <c r="X42" i="6"/>
  <c r="AM42" i="6" s="1"/>
  <c r="P42" i="6"/>
  <c r="BA41" i="6"/>
  <c r="AY41" i="6"/>
  <c r="AX41" i="6"/>
  <c r="AW41" i="6"/>
  <c r="AV41" i="6"/>
  <c r="AT41" i="6"/>
  <c r="AS41" i="6"/>
  <c r="AR41" i="6"/>
  <c r="AQ41" i="6"/>
  <c r="AD41" i="6"/>
  <c r="X41" i="6"/>
  <c r="P41" i="6"/>
  <c r="BA40" i="6"/>
  <c r="AY40" i="6"/>
  <c r="AX40" i="6"/>
  <c r="AW40" i="6"/>
  <c r="AV40" i="6"/>
  <c r="AT40" i="6"/>
  <c r="AS40" i="6"/>
  <c r="AR40" i="6"/>
  <c r="AQ40" i="6"/>
  <c r="AD40" i="6"/>
  <c r="X40" i="6"/>
  <c r="P40" i="6"/>
  <c r="BA39" i="6"/>
  <c r="AY39" i="6"/>
  <c r="AX39" i="6"/>
  <c r="AW39" i="6"/>
  <c r="AV39" i="6"/>
  <c r="AT39" i="6"/>
  <c r="AS39" i="6"/>
  <c r="AR39" i="6"/>
  <c r="AQ39" i="6"/>
  <c r="Y39" i="6"/>
  <c r="AD39" i="6" s="1"/>
  <c r="X39" i="6"/>
  <c r="P39" i="6"/>
  <c r="BA38" i="6"/>
  <c r="AY38" i="6"/>
  <c r="AX38" i="6"/>
  <c r="AW38" i="6"/>
  <c r="AV38" i="6"/>
  <c r="AT38" i="6"/>
  <c r="AS38" i="6"/>
  <c r="AR38" i="6"/>
  <c r="AQ38" i="6"/>
  <c r="AN38" i="6"/>
  <c r="Y38" i="6"/>
  <c r="AD38" i="6" s="1"/>
  <c r="X38" i="6"/>
  <c r="Q38" i="6"/>
  <c r="AQ55" i="6" s="1"/>
  <c r="P38" i="6"/>
  <c r="BA37" i="6"/>
  <c r="AY37" i="6"/>
  <c r="AX37" i="6"/>
  <c r="AW37" i="6"/>
  <c r="AV37" i="6"/>
  <c r="AT37" i="6"/>
  <c r="AS37" i="6"/>
  <c r="AR37" i="6"/>
  <c r="AQ37" i="6"/>
  <c r="AD37" i="6"/>
  <c r="X37" i="6"/>
  <c r="P37" i="6"/>
  <c r="BA36" i="6"/>
  <c r="AY36" i="6"/>
  <c r="AX36" i="6"/>
  <c r="AW36" i="6"/>
  <c r="AV36" i="6"/>
  <c r="AS36" i="6"/>
  <c r="AR36" i="6"/>
  <c r="AQ36" i="6"/>
  <c r="AD36" i="6"/>
  <c r="X36" i="6"/>
  <c r="P36" i="6"/>
  <c r="BA35" i="6"/>
  <c r="AY35" i="6"/>
  <c r="AX35" i="6"/>
  <c r="AW35" i="6"/>
  <c r="AV35" i="6"/>
  <c r="AT35" i="6"/>
  <c r="AS35" i="6"/>
  <c r="AR35" i="6"/>
  <c r="AQ35" i="6"/>
  <c r="AD35" i="6"/>
  <c r="X35" i="6"/>
  <c r="P35" i="6"/>
  <c r="BA34" i="6"/>
  <c r="AY34" i="6"/>
  <c r="AX34" i="6"/>
  <c r="AW34" i="6"/>
  <c r="AV34" i="6"/>
  <c r="AT34" i="6"/>
  <c r="AS34" i="6"/>
  <c r="AQ34" i="6"/>
  <c r="AD34" i="6"/>
  <c r="X34" i="6"/>
  <c r="P34" i="6"/>
  <c r="BA33" i="6"/>
  <c r="AY33" i="6"/>
  <c r="AX33" i="6"/>
  <c r="AW33" i="6"/>
  <c r="AV33" i="6"/>
  <c r="AT33" i="6"/>
  <c r="AS33" i="6"/>
  <c r="AR33" i="6"/>
  <c r="AQ33" i="6"/>
  <c r="AD33" i="6"/>
  <c r="X33" i="6"/>
  <c r="P33" i="6"/>
  <c r="BA32" i="6"/>
  <c r="AY32" i="6"/>
  <c r="AX32" i="6"/>
  <c r="AW32" i="6"/>
  <c r="AV32" i="6"/>
  <c r="AT32" i="6"/>
  <c r="AS32" i="6"/>
  <c r="AR32" i="6"/>
  <c r="AQ32" i="6"/>
  <c r="AD32" i="6"/>
  <c r="X32" i="6"/>
  <c r="P32" i="6"/>
  <c r="BA31" i="6"/>
  <c r="AY31" i="6"/>
  <c r="AX31" i="6"/>
  <c r="AW31" i="6"/>
  <c r="AV31" i="6"/>
  <c r="AT31" i="6"/>
  <c r="AS31" i="6"/>
  <c r="AR31" i="6"/>
  <c r="AQ31" i="6"/>
  <c r="AD31" i="6"/>
  <c r="V31" i="6"/>
  <c r="X31" i="6" s="1"/>
  <c r="AM31" i="6" s="1"/>
  <c r="Q31" i="6"/>
  <c r="P31" i="6"/>
  <c r="BA30" i="6"/>
  <c r="AY30" i="6"/>
  <c r="AX30" i="6"/>
  <c r="AW30" i="6"/>
  <c r="AV30" i="6"/>
  <c r="AT30" i="6"/>
  <c r="AS30" i="6"/>
  <c r="AR30" i="6"/>
  <c r="AQ30" i="6"/>
  <c r="AD30" i="6"/>
  <c r="X30" i="6"/>
  <c r="P30" i="6"/>
  <c r="BA29" i="6"/>
  <c r="AY29" i="6"/>
  <c r="AX29" i="6"/>
  <c r="AW29" i="6"/>
  <c r="AV29" i="6"/>
  <c r="AT29" i="6"/>
  <c r="AS29" i="6"/>
  <c r="AR29" i="6"/>
  <c r="AQ29" i="6"/>
  <c r="AD29" i="6"/>
  <c r="AM29" i="6" s="1"/>
  <c r="X29" i="6"/>
  <c r="P29" i="6"/>
  <c r="BA28" i="6"/>
  <c r="AY28" i="6"/>
  <c r="AX28" i="6"/>
  <c r="AW28" i="6"/>
  <c r="AV28" i="6"/>
  <c r="AT28" i="6"/>
  <c r="AS28" i="6"/>
  <c r="AR28" i="6"/>
  <c r="AQ28" i="6"/>
  <c r="AM28" i="6"/>
  <c r="AD28" i="6"/>
  <c r="X28" i="6"/>
  <c r="P28" i="6"/>
  <c r="BA27" i="6"/>
  <c r="AY27" i="6"/>
  <c r="AX27" i="6"/>
  <c r="AW27" i="6"/>
  <c r="AV27" i="6"/>
  <c r="AT27" i="6"/>
  <c r="AS27" i="6"/>
  <c r="AR27" i="6"/>
  <c r="AQ27" i="6"/>
  <c r="AN27" i="6"/>
  <c r="Y27" i="6"/>
  <c r="AD27" i="6" s="1"/>
  <c r="X27" i="6"/>
  <c r="P27" i="6"/>
  <c r="BA26" i="6"/>
  <c r="AY26" i="6"/>
  <c r="AX26" i="6"/>
  <c r="AW26" i="6"/>
  <c r="AV26" i="6"/>
  <c r="AT26" i="6"/>
  <c r="AS26" i="6"/>
  <c r="AQ26" i="6"/>
  <c r="AD26" i="6"/>
  <c r="X26" i="6"/>
  <c r="P26" i="6"/>
  <c r="BA25" i="6"/>
  <c r="AY25" i="6"/>
  <c r="AX25" i="6"/>
  <c r="AW25" i="6"/>
  <c r="AV25" i="6"/>
  <c r="AT25" i="6"/>
  <c r="AS25" i="6"/>
  <c r="AR25" i="6"/>
  <c r="AQ25" i="6"/>
  <c r="AD25" i="6"/>
  <c r="X25" i="6"/>
  <c r="AM25" i="6" s="1"/>
  <c r="P25" i="6"/>
  <c r="AD24" i="6"/>
  <c r="X24" i="6"/>
  <c r="P24" i="6"/>
  <c r="AD23" i="6"/>
  <c r="X23" i="6"/>
  <c r="P23" i="6"/>
  <c r="AD22" i="6"/>
  <c r="X22" i="6"/>
  <c r="P22" i="6"/>
  <c r="AD21" i="6"/>
  <c r="X21" i="6"/>
  <c r="AM21" i="6" s="1"/>
  <c r="P21" i="6"/>
  <c r="AN20" i="6"/>
  <c r="BD8" i="6" s="1"/>
  <c r="AA20" i="6"/>
  <c r="Y20" i="6"/>
  <c r="AD20" i="6" s="1"/>
  <c r="AM20" i="6" s="1"/>
  <c r="X20" i="6"/>
  <c r="P20" i="6"/>
  <c r="BD19" i="6"/>
  <c r="BC19" i="6"/>
  <c r="BB19" i="6"/>
  <c r="AZ19" i="6"/>
  <c r="AY19" i="6"/>
  <c r="AX19" i="6"/>
  <c r="AW19" i="6"/>
  <c r="AV19" i="6"/>
  <c r="AT19" i="6"/>
  <c r="AS19" i="6"/>
  <c r="AR19" i="6"/>
  <c r="AD19" i="6"/>
  <c r="X19" i="6"/>
  <c r="P19" i="6"/>
  <c r="BD18" i="6"/>
  <c r="BC18" i="6"/>
  <c r="BB18" i="6"/>
  <c r="AZ18" i="6"/>
  <c r="AY18" i="6"/>
  <c r="AX18" i="6"/>
  <c r="AW18" i="6"/>
  <c r="AV18" i="6"/>
  <c r="AT18" i="6"/>
  <c r="AS18" i="6"/>
  <c r="AR18" i="6"/>
  <c r="AD18" i="6"/>
  <c r="X18" i="6"/>
  <c r="P18" i="6"/>
  <c r="AQ18" i="6" s="1"/>
  <c r="BD17" i="6"/>
  <c r="BC17" i="6"/>
  <c r="BB17" i="6"/>
  <c r="AZ17" i="6"/>
  <c r="AY17" i="6"/>
  <c r="AX17" i="6"/>
  <c r="AW17" i="6"/>
  <c r="AV17" i="6"/>
  <c r="AT17" i="6"/>
  <c r="AS17" i="6"/>
  <c r="AR17" i="6"/>
  <c r="AD17" i="6"/>
  <c r="AM17" i="6" s="1"/>
  <c r="X17" i="6"/>
  <c r="P17" i="6"/>
  <c r="BC16" i="6"/>
  <c r="BB16" i="6"/>
  <c r="AZ16" i="6"/>
  <c r="AY16" i="6"/>
  <c r="AX16" i="6"/>
  <c r="AW16" i="6"/>
  <c r="AT16" i="6"/>
  <c r="AS16" i="6"/>
  <c r="AR16" i="6"/>
  <c r="AD16" i="6"/>
  <c r="X16" i="6"/>
  <c r="P16" i="6"/>
  <c r="BC15" i="6"/>
  <c r="BB15" i="6"/>
  <c r="AZ15" i="6"/>
  <c r="AY15" i="6"/>
  <c r="AW15" i="6"/>
  <c r="AT15" i="6"/>
  <c r="AS15" i="6"/>
  <c r="AR15" i="6"/>
  <c r="AN15" i="6"/>
  <c r="Y15" i="6"/>
  <c r="X15" i="6"/>
  <c r="Q15" i="6"/>
  <c r="P15" i="6"/>
  <c r="BC14" i="6"/>
  <c r="BB14" i="6"/>
  <c r="AZ14" i="6"/>
  <c r="AY14" i="6"/>
  <c r="AX14" i="6"/>
  <c r="AW14" i="6"/>
  <c r="AR14" i="6"/>
  <c r="AN14" i="6"/>
  <c r="AD14" i="6"/>
  <c r="Y14" i="6"/>
  <c r="AV14" i="6" s="1"/>
  <c r="V14" i="6"/>
  <c r="X14" i="6" s="1"/>
  <c r="Q14" i="6"/>
  <c r="P14" i="6"/>
  <c r="BD13" i="6"/>
  <c r="BC13" i="6"/>
  <c r="BB13" i="6"/>
  <c r="AZ13" i="6"/>
  <c r="AY13" i="6"/>
  <c r="AX13" i="6"/>
  <c r="AW13" i="6"/>
  <c r="AV13" i="6"/>
  <c r="AT13" i="6"/>
  <c r="AS13" i="6"/>
  <c r="AR13" i="6"/>
  <c r="AD13" i="6"/>
  <c r="X13" i="6"/>
  <c r="AM13" i="6" s="1"/>
  <c r="P13" i="6"/>
  <c r="BD12" i="6"/>
  <c r="BC12" i="6"/>
  <c r="BB12" i="6"/>
  <c r="AZ12" i="6"/>
  <c r="AY12" i="6"/>
  <c r="AX12" i="6"/>
  <c r="AW12" i="6"/>
  <c r="AV12" i="6"/>
  <c r="AT12" i="6"/>
  <c r="AS12" i="6"/>
  <c r="AR12" i="6"/>
  <c r="AD12" i="6"/>
  <c r="X12" i="6"/>
  <c r="P12" i="6"/>
  <c r="BD11" i="6"/>
  <c r="BC11" i="6"/>
  <c r="BB11" i="6"/>
  <c r="AZ11" i="6"/>
  <c r="AY11" i="6"/>
  <c r="AX11" i="6"/>
  <c r="AW11" i="6"/>
  <c r="AV11" i="6"/>
  <c r="AT11" i="6"/>
  <c r="AS11" i="6"/>
  <c r="AR11" i="6"/>
  <c r="AD11" i="6"/>
  <c r="X11" i="6"/>
  <c r="P11" i="6"/>
  <c r="AQ11" i="6" s="1"/>
  <c r="BC10" i="6"/>
  <c r="BB10" i="6"/>
  <c r="AZ10" i="6"/>
  <c r="AY10" i="6"/>
  <c r="AX10" i="6"/>
  <c r="AW10" i="6"/>
  <c r="AV10" i="6"/>
  <c r="AT10" i="6"/>
  <c r="AS10" i="6"/>
  <c r="AR10" i="6"/>
  <c r="AU10" i="6" s="1"/>
  <c r="AD10" i="6"/>
  <c r="X10" i="6"/>
  <c r="P10" i="6"/>
  <c r="BD9" i="6"/>
  <c r="BC9" i="6"/>
  <c r="BB9" i="6"/>
  <c r="AZ9" i="6"/>
  <c r="AY9" i="6"/>
  <c r="AX9" i="6"/>
  <c r="AW9" i="6"/>
  <c r="AV9" i="6"/>
  <c r="AT9" i="6"/>
  <c r="AS9" i="6"/>
  <c r="AR9" i="6"/>
  <c r="AD9" i="6"/>
  <c r="X9" i="6"/>
  <c r="P9" i="6"/>
  <c r="BB8" i="6"/>
  <c r="AZ8" i="6"/>
  <c r="AY8" i="6"/>
  <c r="AX8" i="6"/>
  <c r="AV8" i="6"/>
  <c r="AT8" i="6"/>
  <c r="AS8" i="6"/>
  <c r="AR8" i="6"/>
  <c r="AD8" i="6"/>
  <c r="X8" i="6"/>
  <c r="P8" i="6"/>
  <c r="D6" i="6"/>
  <c r="AV15" i="6" l="1"/>
  <c r="AU17" i="6"/>
  <c r="AM32" i="6"/>
  <c r="AM34" i="6"/>
  <c r="AM35" i="6"/>
  <c r="W296" i="6"/>
  <c r="AV67" i="6"/>
  <c r="AV72" i="6"/>
  <c r="AM77" i="6"/>
  <c r="AM106" i="6"/>
  <c r="S296" i="6"/>
  <c r="AM149" i="6"/>
  <c r="X158" i="6"/>
  <c r="AM163" i="6"/>
  <c r="AM197" i="6"/>
  <c r="AM215" i="6"/>
  <c r="AM223" i="6"/>
  <c r="AW71" i="6"/>
  <c r="AM291" i="6"/>
  <c r="J124" i="9"/>
  <c r="H16" i="8" s="1"/>
  <c r="J16" i="8" s="1"/>
  <c r="J150" i="9"/>
  <c r="H18" i="8" s="1"/>
  <c r="E33" i="9"/>
  <c r="AQ14" i="6"/>
  <c r="AQ15" i="6"/>
  <c r="BD15" i="6"/>
  <c r="AV16" i="6"/>
  <c r="AQ17" i="6"/>
  <c r="AX49" i="6"/>
  <c r="AM39" i="6"/>
  <c r="AM57" i="6"/>
  <c r="AV66" i="6"/>
  <c r="AM87" i="6"/>
  <c r="AM175" i="6"/>
  <c r="AM184" i="6"/>
  <c r="AM188" i="6"/>
  <c r="AM196" i="6"/>
  <c r="AM222" i="6"/>
  <c r="AM272" i="6"/>
  <c r="AM284" i="6"/>
  <c r="AM288" i="6"/>
  <c r="E33" i="7"/>
  <c r="AU13" i="6"/>
  <c r="Q296" i="6"/>
  <c r="AN296" i="6"/>
  <c r="AX15" i="6"/>
  <c r="AX20" i="6" s="1"/>
  <c r="AA296" i="6"/>
  <c r="AV57" i="6"/>
  <c r="AM135" i="6"/>
  <c r="AM139" i="6"/>
  <c r="AM143" i="6"/>
  <c r="AD152" i="6"/>
  <c r="AM152" i="6" s="1"/>
  <c r="AM167" i="6"/>
  <c r="AM178" i="6"/>
  <c r="AM187" i="6"/>
  <c r="AM199" i="6"/>
  <c r="AM225" i="6"/>
  <c r="AM229" i="6"/>
  <c r="AM235" i="6"/>
  <c r="O31" i="5"/>
  <c r="E46" i="9"/>
  <c r="E72" i="9"/>
  <c r="E306" i="9"/>
  <c r="C30" i="8" s="1"/>
  <c r="J30" i="8" s="1"/>
  <c r="P28" i="5"/>
  <c r="K31" i="5"/>
  <c r="AU11" i="6"/>
  <c r="BA11" i="6"/>
  <c r="AM12" i="6"/>
  <c r="AM19" i="6"/>
  <c r="AM23" i="6"/>
  <c r="AQ56" i="6"/>
  <c r="AQ59" i="6"/>
  <c r="AM85" i="6"/>
  <c r="AM91" i="6"/>
  <c r="AM95" i="6"/>
  <c r="AM104" i="6"/>
  <c r="AM108" i="6"/>
  <c r="AM126" i="6"/>
  <c r="Q320" i="7"/>
  <c r="E59" i="9"/>
  <c r="L53" i="9"/>
  <c r="K59" i="9"/>
  <c r="I11" i="8" s="1"/>
  <c r="L55" i="9"/>
  <c r="J72" i="9"/>
  <c r="H12" i="8" s="1"/>
  <c r="L67" i="9"/>
  <c r="E85" i="9"/>
  <c r="L75" i="9"/>
  <c r="E111" i="9"/>
  <c r="L105" i="9"/>
  <c r="E137" i="9"/>
  <c r="L131" i="9"/>
  <c r="E163" i="9"/>
  <c r="C19" i="8" s="1"/>
  <c r="L157" i="9"/>
  <c r="L170" i="9"/>
  <c r="K176" i="9"/>
  <c r="I20" i="8" s="1"/>
  <c r="I32" i="8" s="1"/>
  <c r="L177" i="9"/>
  <c r="E189" i="9"/>
  <c r="L288" i="9"/>
  <c r="J293" i="9"/>
  <c r="H29" i="8" s="1"/>
  <c r="G320" i="9"/>
  <c r="L20" i="9"/>
  <c r="E150" i="9"/>
  <c r="C20" i="8"/>
  <c r="J20" i="8" s="1"/>
  <c r="E280" i="9"/>
  <c r="AM14" i="6"/>
  <c r="BD14" i="6"/>
  <c r="BD20" i="6" s="1"/>
  <c r="AV53" i="6"/>
  <c r="AM54" i="6"/>
  <c r="AM59" i="6"/>
  <c r="AM61" i="6"/>
  <c r="AM68" i="6"/>
  <c r="AM70" i="6"/>
  <c r="AM73" i="6"/>
  <c r="AM81" i="6"/>
  <c r="AM103" i="6"/>
  <c r="AM107" i="6"/>
  <c r="AM112" i="6"/>
  <c r="AM115" i="6"/>
  <c r="AM119" i="6"/>
  <c r="AM125" i="6"/>
  <c r="AM129" i="6"/>
  <c r="AM138" i="6"/>
  <c r="AM142" i="6"/>
  <c r="AM162" i="6"/>
  <c r="AQ67" i="6"/>
  <c r="AM181" i="6"/>
  <c r="AM185" i="6"/>
  <c r="AM189" i="6"/>
  <c r="AM198" i="6"/>
  <c r="AF296" i="6"/>
  <c r="AM204" i="6"/>
  <c r="AM208" i="6"/>
  <c r="AM212" i="6"/>
  <c r="AM221" i="6"/>
  <c r="AM226" i="6"/>
  <c r="AM232" i="6"/>
  <c r="AM236" i="6"/>
  <c r="E319" i="7"/>
  <c r="N7" i="5"/>
  <c r="N31" i="5" s="1"/>
  <c r="P320" i="7"/>
  <c r="J7" i="5"/>
  <c r="J31" i="5" s="1"/>
  <c r="L320" i="7"/>
  <c r="M320" i="7"/>
  <c r="C16" i="8"/>
  <c r="E254" i="9"/>
  <c r="E31" i="8"/>
  <c r="BA15" i="6"/>
  <c r="AM16" i="6"/>
  <c r="AM40" i="6"/>
  <c r="AM44" i="6"/>
  <c r="AM48" i="6"/>
  <c r="X52" i="6"/>
  <c r="AM52" i="6" s="1"/>
  <c r="AM122" i="6"/>
  <c r="AM171" i="6"/>
  <c r="AM177" i="6"/>
  <c r="AM202" i="6"/>
  <c r="E72" i="7"/>
  <c r="M7" i="5"/>
  <c r="M31" i="5" s="1"/>
  <c r="O320" i="7"/>
  <c r="I7" i="5"/>
  <c r="I31" i="5" s="1"/>
  <c r="K320" i="7"/>
  <c r="J98" i="7"/>
  <c r="H13" i="5" s="1"/>
  <c r="E98" i="9"/>
  <c r="AU8" i="6"/>
  <c r="AM9" i="6"/>
  <c r="AM11" i="6"/>
  <c r="AU15" i="6"/>
  <c r="AU16" i="6"/>
  <c r="AU19" i="6"/>
  <c r="AM24" i="6"/>
  <c r="AM26" i="6"/>
  <c r="AM53" i="6"/>
  <c r="AT77" i="6"/>
  <c r="AX77" i="6"/>
  <c r="AQ57" i="6"/>
  <c r="AM67" i="6"/>
  <c r="AM105" i="6"/>
  <c r="AM109" i="6"/>
  <c r="AM127" i="6"/>
  <c r="AM146" i="6"/>
  <c r="E59" i="7"/>
  <c r="E137" i="7"/>
  <c r="L7" i="5"/>
  <c r="N320" i="7"/>
  <c r="H7" i="5"/>
  <c r="H31" i="5" s="1"/>
  <c r="J320" i="7"/>
  <c r="P23" i="5"/>
  <c r="E32" i="8"/>
  <c r="C10" i="8"/>
  <c r="J10" i="8" s="1"/>
  <c r="L46" i="9"/>
  <c r="L72" i="9"/>
  <c r="C12" i="8"/>
  <c r="J12" i="8" s="1"/>
  <c r="F31" i="8"/>
  <c r="F32" i="8" s="1"/>
  <c r="H320" i="9"/>
  <c r="C8" i="8"/>
  <c r="J8" i="8" s="1"/>
  <c r="L68" i="9"/>
  <c r="L171" i="9"/>
  <c r="L183" i="9"/>
  <c r="I320" i="9"/>
  <c r="L33" i="9"/>
  <c r="C9" i="8"/>
  <c r="J9" i="8" s="1"/>
  <c r="K320" i="9"/>
  <c r="L205" i="9"/>
  <c r="E215" i="9"/>
  <c r="L231" i="9"/>
  <c r="E241" i="9"/>
  <c r="L242" i="9"/>
  <c r="J254" i="9"/>
  <c r="H26" i="8" s="1"/>
  <c r="L287" i="9"/>
  <c r="E293" i="9"/>
  <c r="E319" i="9"/>
  <c r="L307" i="9"/>
  <c r="J85" i="9"/>
  <c r="H13" i="8" s="1"/>
  <c r="H32" i="8" s="1"/>
  <c r="J111" i="9"/>
  <c r="H15" i="8" s="1"/>
  <c r="D32" i="8"/>
  <c r="L14" i="9"/>
  <c r="L118" i="9"/>
  <c r="L249" i="9"/>
  <c r="L313" i="9"/>
  <c r="G32" i="8"/>
  <c r="E202" i="9"/>
  <c r="F320" i="9"/>
  <c r="L228" i="9"/>
  <c r="J202" i="9"/>
  <c r="H22" i="8" s="1"/>
  <c r="E267" i="9"/>
  <c r="L163" i="9"/>
  <c r="J24" i="8"/>
  <c r="J19" i="8"/>
  <c r="L31" i="5"/>
  <c r="F19" i="5"/>
  <c r="F22" i="5"/>
  <c r="F24" i="5"/>
  <c r="E9" i="5"/>
  <c r="E11" i="5"/>
  <c r="E12" i="5"/>
  <c r="E13" i="5"/>
  <c r="E15" i="5"/>
  <c r="E16" i="5"/>
  <c r="E17" i="5"/>
  <c r="E18" i="5"/>
  <c r="E29" i="5"/>
  <c r="F20" i="5"/>
  <c r="F8" i="5"/>
  <c r="C30" i="5"/>
  <c r="D9" i="5"/>
  <c r="D10" i="5"/>
  <c r="D13" i="5"/>
  <c r="D14" i="5"/>
  <c r="D17" i="5"/>
  <c r="D18" i="5"/>
  <c r="D21" i="5"/>
  <c r="D22" i="5"/>
  <c r="D25" i="5"/>
  <c r="D26" i="5"/>
  <c r="D29" i="5"/>
  <c r="D30" i="5"/>
  <c r="H320" i="7"/>
  <c r="G11" i="5"/>
  <c r="G15" i="5"/>
  <c r="G19" i="5"/>
  <c r="G27" i="5"/>
  <c r="G320" i="7"/>
  <c r="F320" i="7"/>
  <c r="I320" i="7"/>
  <c r="E267" i="7"/>
  <c r="E306" i="7"/>
  <c r="E280" i="7"/>
  <c r="E215" i="7"/>
  <c r="E254" i="7"/>
  <c r="C25" i="5" s="1"/>
  <c r="P25" i="5" s="1"/>
  <c r="E241" i="7"/>
  <c r="E228" i="7"/>
  <c r="E202" i="7"/>
  <c r="E150" i="7"/>
  <c r="E176" i="7"/>
  <c r="E189" i="7"/>
  <c r="E163" i="7"/>
  <c r="E124" i="7"/>
  <c r="E111" i="7"/>
  <c r="E98" i="7"/>
  <c r="E20" i="7"/>
  <c r="AQ8" i="6"/>
  <c r="BA10" i="6"/>
  <c r="BA16" i="6"/>
  <c r="BA17" i="6"/>
  <c r="AT49" i="6"/>
  <c r="AY49" i="6"/>
  <c r="AM30" i="6"/>
  <c r="AM37" i="6"/>
  <c r="AM41" i="6"/>
  <c r="AM43" i="6"/>
  <c r="AM56" i="6"/>
  <c r="AM60" i="6"/>
  <c r="AM75" i="6"/>
  <c r="AM79" i="6"/>
  <c r="AM84" i="6"/>
  <c r="AM90" i="6"/>
  <c r="AM94" i="6"/>
  <c r="AM102" i="6"/>
  <c r="AM130" i="6"/>
  <c r="AM147" i="6"/>
  <c r="AM148" i="6"/>
  <c r="AM166" i="6"/>
  <c r="AM174" i="6"/>
  <c r="AM180" i="6"/>
  <c r="AM194" i="6"/>
  <c r="AM203" i="6"/>
  <c r="AM211" i="6"/>
  <c r="AM239" i="6"/>
  <c r="AM265" i="6"/>
  <c r="AM275" i="6"/>
  <c r="AM287" i="6"/>
  <c r="AM294" i="6"/>
  <c r="BC20" i="6"/>
  <c r="AQ10" i="6"/>
  <c r="AU12" i="6"/>
  <c r="BA12" i="6"/>
  <c r="AQ16" i="6"/>
  <c r="AM18" i="6"/>
  <c r="AQ19" i="6"/>
  <c r="AQ49" i="6"/>
  <c r="AV49" i="6"/>
  <c r="BA49" i="6"/>
  <c r="AM27" i="6"/>
  <c r="AM36" i="6"/>
  <c r="AM38" i="6"/>
  <c r="AM45" i="6"/>
  <c r="AM47" i="6"/>
  <c r="AM51" i="6"/>
  <c r="AM63" i="6"/>
  <c r="AM76" i="6"/>
  <c r="AM78" i="6"/>
  <c r="AM82" i="6"/>
  <c r="AM83" i="6"/>
  <c r="AM89" i="6"/>
  <c r="AM93" i="6"/>
  <c r="AM97" i="6"/>
  <c r="AM101" i="6"/>
  <c r="AM134" i="6"/>
  <c r="AM151" i="6"/>
  <c r="AM164" i="6"/>
  <c r="AM165" i="6"/>
  <c r="AM169" i="6"/>
  <c r="AM173" i="6"/>
  <c r="AM179" i="6"/>
  <c r="AM200" i="6"/>
  <c r="AM206" i="6"/>
  <c r="AM210" i="6"/>
  <c r="AM219" i="6"/>
  <c r="AM220" i="6"/>
  <c r="AM264" i="6"/>
  <c r="AM274" i="6"/>
  <c r="AM286" i="6"/>
  <c r="AM293" i="6"/>
  <c r="AS49" i="6"/>
  <c r="AS20" i="6"/>
  <c r="AT20" i="6"/>
  <c r="AQ13" i="6"/>
  <c r="BA13" i="6"/>
  <c r="AY20" i="6"/>
  <c r="AV20" i="6"/>
  <c r="AZ20" i="6"/>
  <c r="AQ9" i="6"/>
  <c r="AU9" i="6"/>
  <c r="BA9" i="6"/>
  <c r="BB20" i="6"/>
  <c r="AM10" i="6"/>
  <c r="AQ12" i="6"/>
  <c r="AU14" i="6"/>
  <c r="BA14" i="6"/>
  <c r="AU18" i="6"/>
  <c r="BA18" i="6"/>
  <c r="BA19" i="6"/>
  <c r="AM22" i="6"/>
  <c r="AW49" i="6"/>
  <c r="AM33" i="6"/>
  <c r="AM49" i="6"/>
  <c r="AM55" i="6"/>
  <c r="AM66" i="6"/>
  <c r="AM69" i="6"/>
  <c r="AM71" i="6"/>
  <c r="AM74" i="6"/>
  <c r="AM86" i="6"/>
  <c r="AM88" i="6"/>
  <c r="AM92" i="6"/>
  <c r="AM96" i="6"/>
  <c r="AM98" i="6"/>
  <c r="AM100" i="6"/>
  <c r="AM111" i="6"/>
  <c r="AM116" i="6"/>
  <c r="AM120" i="6"/>
  <c r="AM133" i="6"/>
  <c r="AM137" i="6"/>
  <c r="AM141" i="6"/>
  <c r="AM145" i="6"/>
  <c r="AM150" i="6"/>
  <c r="AM168" i="6"/>
  <c r="AM172" i="6"/>
  <c r="AM190" i="6"/>
  <c r="AM201" i="6"/>
  <c r="AM205" i="6"/>
  <c r="AM209" i="6"/>
  <c r="AM213" i="6"/>
  <c r="AM214" i="6"/>
  <c r="AM218" i="6"/>
  <c r="AM228" i="6"/>
  <c r="AM231" i="6"/>
  <c r="AM234" i="6"/>
  <c r="AM238" i="6"/>
  <c r="AM241" i="6"/>
  <c r="AM242" i="6"/>
  <c r="AM255" i="6"/>
  <c r="AM263" i="6"/>
  <c r="AM273" i="6"/>
  <c r="AM277" i="6"/>
  <c r="AM278" i="6"/>
  <c r="AM285" i="6"/>
  <c r="AM289" i="6"/>
  <c r="AM292" i="6"/>
  <c r="AV74" i="6"/>
  <c r="X266" i="6"/>
  <c r="AM266" i="6" s="1"/>
  <c r="BA8" i="6"/>
  <c r="V296" i="6"/>
  <c r="AD15" i="6"/>
  <c r="AM15" i="6" s="1"/>
  <c r="AR26" i="6"/>
  <c r="AR49" i="6" s="1"/>
  <c r="AW56" i="6"/>
  <c r="AW77" i="6" s="1"/>
  <c r="AQ63" i="6"/>
  <c r="AM159" i="6"/>
  <c r="AM170" i="6"/>
  <c r="AM182" i="6"/>
  <c r="AM183" i="6"/>
  <c r="AM230" i="6"/>
  <c r="AM254" i="6"/>
  <c r="AM295" i="6"/>
  <c r="X80" i="6"/>
  <c r="AM80" i="6" s="1"/>
  <c r="AV59" i="6"/>
  <c r="AM8" i="6"/>
  <c r="AR20" i="6"/>
  <c r="AM62" i="6"/>
  <c r="AM64" i="6"/>
  <c r="AM65" i="6"/>
  <c r="AE296" i="6"/>
  <c r="AV61" i="6"/>
  <c r="Z296" i="6"/>
  <c r="AD123" i="6"/>
  <c r="AM123" i="6" s="1"/>
  <c r="AM158" i="6"/>
  <c r="X224" i="6"/>
  <c r="AM224" i="6" s="1"/>
  <c r="AS76" i="6"/>
  <c r="AS77" i="6" s="1"/>
  <c r="X290" i="6"/>
  <c r="AM290" i="6" s="1"/>
  <c r="P296" i="6"/>
  <c r="Y296" i="6"/>
  <c r="X50" i="6"/>
  <c r="AM50" i="6" s="1"/>
  <c r="AQ53" i="6"/>
  <c r="AU77" i="6"/>
  <c r="X110" i="6"/>
  <c r="AM110" i="6" s="1"/>
  <c r="AQ20" i="6" l="1"/>
  <c r="F31" i="5"/>
  <c r="BA20" i="6"/>
  <c r="L306" i="9"/>
  <c r="L124" i="9"/>
  <c r="J320" i="9"/>
  <c r="L176" i="9"/>
  <c r="AU20" i="6"/>
  <c r="E320" i="7"/>
  <c r="C7" i="5"/>
  <c r="P30" i="5"/>
  <c r="L293" i="9"/>
  <c r="C29" i="8"/>
  <c r="J29" i="8" s="1"/>
  <c r="L241" i="9"/>
  <c r="C25" i="8"/>
  <c r="J25" i="8" s="1"/>
  <c r="C14" i="8"/>
  <c r="J14" i="8" s="1"/>
  <c r="L98" i="9"/>
  <c r="C18" i="8"/>
  <c r="J18" i="8" s="1"/>
  <c r="L150" i="9"/>
  <c r="L137" i="9"/>
  <c r="C17" i="8"/>
  <c r="J17" i="8" s="1"/>
  <c r="L85" i="9"/>
  <c r="C13" i="8"/>
  <c r="J13" i="8" s="1"/>
  <c r="C27" i="8"/>
  <c r="J27" i="8" s="1"/>
  <c r="L280" i="9"/>
  <c r="L189" i="9"/>
  <c r="C21" i="8"/>
  <c r="J21" i="8" s="1"/>
  <c r="L267" i="9"/>
  <c r="C28" i="8"/>
  <c r="J28" i="8" s="1"/>
  <c r="C22" i="8"/>
  <c r="J22" i="8" s="1"/>
  <c r="L202" i="9"/>
  <c r="L215" i="9"/>
  <c r="C23" i="8"/>
  <c r="J23" i="8" s="1"/>
  <c r="C15" i="8"/>
  <c r="J15" i="8" s="1"/>
  <c r="L111" i="9"/>
  <c r="C11" i="8"/>
  <c r="L59" i="9"/>
  <c r="AQ77" i="6"/>
  <c r="L319" i="9"/>
  <c r="E320" i="9"/>
  <c r="C31" i="8"/>
  <c r="J31" i="8" s="1"/>
  <c r="C26" i="8"/>
  <c r="J26" i="8" s="1"/>
  <c r="L254" i="9"/>
  <c r="G31" i="5"/>
  <c r="E31" i="5"/>
  <c r="C11" i="5"/>
  <c r="P11" i="5" s="1"/>
  <c r="C19" i="5"/>
  <c r="P19" i="5" s="1"/>
  <c r="C10" i="5"/>
  <c r="P10" i="5" s="1"/>
  <c r="C17" i="5"/>
  <c r="P17" i="5" s="1"/>
  <c r="C24" i="5"/>
  <c r="P24" i="5" s="1"/>
  <c r="C8" i="5"/>
  <c r="P8" i="5" s="1"/>
  <c r="C14" i="5"/>
  <c r="P14" i="5" s="1"/>
  <c r="C18" i="5"/>
  <c r="P18" i="5" s="1"/>
  <c r="C16" i="5"/>
  <c r="C27" i="5"/>
  <c r="P27" i="5" s="1"/>
  <c r="C9" i="5"/>
  <c r="P9" i="5" s="1"/>
  <c r="C15" i="5"/>
  <c r="P15" i="5" s="1"/>
  <c r="C20" i="5"/>
  <c r="P20" i="5" s="1"/>
  <c r="C21" i="5"/>
  <c r="P21" i="5" s="1"/>
  <c r="C22" i="5"/>
  <c r="P22" i="5" s="1"/>
  <c r="C13" i="5"/>
  <c r="P13" i="5" s="1"/>
  <c r="C26" i="5"/>
  <c r="P26" i="5" s="1"/>
  <c r="C12" i="5"/>
  <c r="P12" i="5" s="1"/>
  <c r="C29" i="5"/>
  <c r="P29" i="5" s="1"/>
  <c r="D31" i="5"/>
  <c r="AV77" i="6"/>
  <c r="X296" i="6"/>
  <c r="AM296" i="6"/>
  <c r="AD296" i="6"/>
  <c r="P7" i="5" l="1"/>
  <c r="C31" i="5"/>
  <c r="J11" i="8"/>
  <c r="J32" i="8" s="1"/>
  <c r="C32" i="8"/>
  <c r="P16" i="5"/>
  <c r="T316" i="3"/>
  <c r="S315" i="3"/>
  <c r="S314" i="3"/>
  <c r="S313" i="3"/>
  <c r="S312" i="3"/>
  <c r="S311" i="3"/>
  <c r="S310" i="3"/>
  <c r="S309" i="3"/>
  <c r="S308" i="3"/>
  <c r="S307" i="3"/>
  <c r="S306" i="3"/>
  <c r="S305" i="3"/>
  <c r="S304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T303" i="3"/>
  <c r="S302" i="3"/>
  <c r="S301" i="3"/>
  <c r="S300" i="3"/>
  <c r="S299" i="3"/>
  <c r="S298" i="3"/>
  <c r="S297" i="3"/>
  <c r="S296" i="3"/>
  <c r="S295" i="3"/>
  <c r="S294" i="3"/>
  <c r="S293" i="3"/>
  <c r="S292" i="3"/>
  <c r="S291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T290" i="3"/>
  <c r="S289" i="3"/>
  <c r="S288" i="3"/>
  <c r="S287" i="3"/>
  <c r="S286" i="3"/>
  <c r="S285" i="3"/>
  <c r="S284" i="3"/>
  <c r="S283" i="3"/>
  <c r="S282" i="3"/>
  <c r="S281" i="3"/>
  <c r="S280" i="3"/>
  <c r="S279" i="3"/>
  <c r="S278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T277" i="3"/>
  <c r="S276" i="3"/>
  <c r="S275" i="3"/>
  <c r="S274" i="3"/>
  <c r="S273" i="3"/>
  <c r="S272" i="3"/>
  <c r="S271" i="3"/>
  <c r="S270" i="3"/>
  <c r="S269" i="3"/>
  <c r="S268" i="3"/>
  <c r="S267" i="3"/>
  <c r="S266" i="3"/>
  <c r="S265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T264" i="3"/>
  <c r="S263" i="3"/>
  <c r="S262" i="3"/>
  <c r="S261" i="3"/>
  <c r="S260" i="3"/>
  <c r="S259" i="3"/>
  <c r="S258" i="3"/>
  <c r="S257" i="3"/>
  <c r="S256" i="3"/>
  <c r="S255" i="3"/>
  <c r="S254" i="3"/>
  <c r="S253" i="3"/>
  <c r="S252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T251" i="3"/>
  <c r="S250" i="3"/>
  <c r="S249" i="3"/>
  <c r="S248" i="3"/>
  <c r="S247" i="3"/>
  <c r="S246" i="3"/>
  <c r="S245" i="3"/>
  <c r="S244" i="3"/>
  <c r="S243" i="3"/>
  <c r="S242" i="3"/>
  <c r="S241" i="3"/>
  <c r="S240" i="3"/>
  <c r="S239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T238" i="3"/>
  <c r="S237" i="3"/>
  <c r="S236" i="3"/>
  <c r="S235" i="3"/>
  <c r="S234" i="3"/>
  <c r="S233" i="3"/>
  <c r="S232" i="3"/>
  <c r="S231" i="3"/>
  <c r="S230" i="3"/>
  <c r="S229" i="3"/>
  <c r="S228" i="3"/>
  <c r="S227" i="3"/>
  <c r="S226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S224" i="3"/>
  <c r="S223" i="3"/>
  <c r="S222" i="3"/>
  <c r="S221" i="3"/>
  <c r="S220" i="3"/>
  <c r="S219" i="3"/>
  <c r="S218" i="3"/>
  <c r="S217" i="3"/>
  <c r="S216" i="3"/>
  <c r="S215" i="3"/>
  <c r="S214" i="3"/>
  <c r="S213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T225" i="3"/>
  <c r="S316" i="3" l="1"/>
  <c r="G316" i="3"/>
  <c r="O316" i="3"/>
  <c r="K316" i="3"/>
  <c r="P31" i="5"/>
  <c r="K303" i="3"/>
  <c r="O303" i="3"/>
  <c r="G303" i="3"/>
  <c r="S303" i="3"/>
  <c r="G290" i="3"/>
  <c r="O290" i="3"/>
  <c r="S290" i="3"/>
  <c r="K290" i="3"/>
  <c r="K277" i="3"/>
  <c r="S277" i="3"/>
  <c r="G277" i="3"/>
  <c r="O277" i="3"/>
  <c r="K264" i="3"/>
  <c r="G264" i="3"/>
  <c r="O264" i="3"/>
  <c r="S264" i="3"/>
  <c r="G238" i="3"/>
  <c r="S238" i="3"/>
  <c r="K238" i="3"/>
  <c r="G251" i="3"/>
  <c r="O251" i="3"/>
  <c r="O238" i="3"/>
  <c r="K251" i="3"/>
  <c r="S251" i="3"/>
  <c r="O225" i="3"/>
  <c r="G225" i="3"/>
  <c r="K225" i="3"/>
  <c r="S225" i="3"/>
  <c r="T212" i="3"/>
  <c r="S211" i="3"/>
  <c r="S210" i="3"/>
  <c r="S209" i="3"/>
  <c r="S208" i="3"/>
  <c r="S207" i="3"/>
  <c r="S206" i="3"/>
  <c r="S205" i="3"/>
  <c r="S204" i="3"/>
  <c r="S203" i="3"/>
  <c r="S202" i="3"/>
  <c r="S201" i="3"/>
  <c r="S200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S198" i="3"/>
  <c r="S197" i="3"/>
  <c r="S196" i="3"/>
  <c r="S195" i="3"/>
  <c r="S194" i="3"/>
  <c r="S193" i="3"/>
  <c r="S192" i="3"/>
  <c r="S191" i="3"/>
  <c r="S190" i="3"/>
  <c r="S189" i="3"/>
  <c r="S188" i="3"/>
  <c r="S187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T199" i="3"/>
  <c r="T186" i="3"/>
  <c r="S185" i="3"/>
  <c r="S184" i="3"/>
  <c r="S183" i="3"/>
  <c r="S182" i="3"/>
  <c r="S181" i="3"/>
  <c r="S180" i="3"/>
  <c r="S179" i="3"/>
  <c r="S178" i="3"/>
  <c r="S177" i="3"/>
  <c r="S176" i="3"/>
  <c r="S175" i="3"/>
  <c r="S174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T173" i="3"/>
  <c r="S172" i="3"/>
  <c r="S171" i="3"/>
  <c r="S170" i="3"/>
  <c r="S169" i="3"/>
  <c r="S168" i="3"/>
  <c r="S167" i="3"/>
  <c r="S166" i="3"/>
  <c r="S165" i="3"/>
  <c r="S164" i="3"/>
  <c r="S163" i="3"/>
  <c r="S162" i="3"/>
  <c r="S161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S159" i="3"/>
  <c r="S158" i="3"/>
  <c r="S157" i="3"/>
  <c r="S156" i="3"/>
  <c r="S155" i="3"/>
  <c r="S154" i="3"/>
  <c r="S153" i="3"/>
  <c r="S152" i="3"/>
  <c r="S151" i="3"/>
  <c r="S150" i="3"/>
  <c r="S149" i="3"/>
  <c r="S148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T160" i="3"/>
  <c r="T147" i="3"/>
  <c r="S146" i="3"/>
  <c r="S145" i="3"/>
  <c r="S144" i="3"/>
  <c r="S143" i="3"/>
  <c r="S142" i="3"/>
  <c r="S141" i="3"/>
  <c r="S140" i="3"/>
  <c r="S139" i="3"/>
  <c r="S138" i="3"/>
  <c r="S137" i="3"/>
  <c r="S136" i="3"/>
  <c r="S135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T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T121" i="3"/>
  <c r="S120" i="3"/>
  <c r="S119" i="3"/>
  <c r="S118" i="3"/>
  <c r="S117" i="3"/>
  <c r="S116" i="3"/>
  <c r="S115" i="3"/>
  <c r="S114" i="3"/>
  <c r="S113" i="3"/>
  <c r="S112" i="3"/>
  <c r="S111" i="3"/>
  <c r="S110" i="3"/>
  <c r="S109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S107" i="3"/>
  <c r="S106" i="3"/>
  <c r="S105" i="3"/>
  <c r="S104" i="3"/>
  <c r="S103" i="3"/>
  <c r="S102" i="3"/>
  <c r="S101" i="3"/>
  <c r="S100" i="3"/>
  <c r="S99" i="3"/>
  <c r="S98" i="3"/>
  <c r="S97" i="3"/>
  <c r="S96" i="3"/>
  <c r="O107" i="3"/>
  <c r="O106" i="3"/>
  <c r="O105" i="3"/>
  <c r="O104" i="3"/>
  <c r="O103" i="3"/>
  <c r="O102" i="3"/>
  <c r="O101" i="3"/>
  <c r="O100" i="3"/>
  <c r="O99" i="3"/>
  <c r="O98" i="3"/>
  <c r="O97" i="3"/>
  <c r="O96" i="3"/>
  <c r="K107" i="3"/>
  <c r="K106" i="3"/>
  <c r="K105" i="3"/>
  <c r="K104" i="3"/>
  <c r="K103" i="3"/>
  <c r="K102" i="3"/>
  <c r="K101" i="3"/>
  <c r="K100" i="3"/>
  <c r="K99" i="3"/>
  <c r="K98" i="3"/>
  <c r="K97" i="3"/>
  <c r="K96" i="3"/>
  <c r="G107" i="3"/>
  <c r="G106" i="3"/>
  <c r="G105" i="3"/>
  <c r="G104" i="3"/>
  <c r="G103" i="3"/>
  <c r="G102" i="3"/>
  <c r="G101" i="3"/>
  <c r="G100" i="3"/>
  <c r="G99" i="3"/>
  <c r="G98" i="3"/>
  <c r="G97" i="3"/>
  <c r="G96" i="3"/>
  <c r="T108" i="3"/>
  <c r="T95" i="3"/>
  <c r="S94" i="3"/>
  <c r="S93" i="3"/>
  <c r="S92" i="3"/>
  <c r="S91" i="3"/>
  <c r="S90" i="3"/>
  <c r="S89" i="3"/>
  <c r="S88" i="3"/>
  <c r="S87" i="3"/>
  <c r="S86" i="3"/>
  <c r="S85" i="3"/>
  <c r="S84" i="3"/>
  <c r="S83" i="3"/>
  <c r="O94" i="3"/>
  <c r="O93" i="3"/>
  <c r="O92" i="3"/>
  <c r="O91" i="3"/>
  <c r="O90" i="3"/>
  <c r="O89" i="3"/>
  <c r="O88" i="3"/>
  <c r="O87" i="3"/>
  <c r="O86" i="3"/>
  <c r="O85" i="3"/>
  <c r="O84" i="3"/>
  <c r="O83" i="3"/>
  <c r="K94" i="3"/>
  <c r="K93" i="3"/>
  <c r="K92" i="3"/>
  <c r="K91" i="3"/>
  <c r="K90" i="3"/>
  <c r="K89" i="3"/>
  <c r="K88" i="3"/>
  <c r="K87" i="3"/>
  <c r="K86" i="3"/>
  <c r="K85" i="3"/>
  <c r="K84" i="3"/>
  <c r="K83" i="3"/>
  <c r="G94" i="3"/>
  <c r="G93" i="3"/>
  <c r="G92" i="3"/>
  <c r="G91" i="3"/>
  <c r="G90" i="3"/>
  <c r="G89" i="3"/>
  <c r="G88" i="3"/>
  <c r="G87" i="3"/>
  <c r="G86" i="3"/>
  <c r="G85" i="3"/>
  <c r="G84" i="3"/>
  <c r="G83" i="3"/>
  <c r="T82" i="3"/>
  <c r="S81" i="3"/>
  <c r="S80" i="3"/>
  <c r="S79" i="3"/>
  <c r="S78" i="3"/>
  <c r="S77" i="3"/>
  <c r="S76" i="3"/>
  <c r="S75" i="3"/>
  <c r="S74" i="3"/>
  <c r="S73" i="3"/>
  <c r="S72" i="3"/>
  <c r="S71" i="3"/>
  <c r="S70" i="3"/>
  <c r="O81" i="3"/>
  <c r="O80" i="3"/>
  <c r="O79" i="3"/>
  <c r="O78" i="3"/>
  <c r="O77" i="3"/>
  <c r="O76" i="3"/>
  <c r="O75" i="3"/>
  <c r="O74" i="3"/>
  <c r="O73" i="3"/>
  <c r="O72" i="3"/>
  <c r="O71" i="3"/>
  <c r="O70" i="3"/>
  <c r="K81" i="3"/>
  <c r="K80" i="3"/>
  <c r="K79" i="3"/>
  <c r="K78" i="3"/>
  <c r="K77" i="3"/>
  <c r="K76" i="3"/>
  <c r="K75" i="3"/>
  <c r="K74" i="3"/>
  <c r="K73" i="3"/>
  <c r="K72" i="3"/>
  <c r="K71" i="3"/>
  <c r="K70" i="3"/>
  <c r="G81" i="3"/>
  <c r="G80" i="3"/>
  <c r="G79" i="3"/>
  <c r="G78" i="3"/>
  <c r="G77" i="3"/>
  <c r="G76" i="3"/>
  <c r="G75" i="3"/>
  <c r="G74" i="3"/>
  <c r="G73" i="3"/>
  <c r="G72" i="3"/>
  <c r="G71" i="3"/>
  <c r="G70" i="3"/>
  <c r="S68" i="3"/>
  <c r="S67" i="3"/>
  <c r="S66" i="3"/>
  <c r="S65" i="3"/>
  <c r="S64" i="3"/>
  <c r="S63" i="3"/>
  <c r="S62" i="3"/>
  <c r="S61" i="3"/>
  <c r="S60" i="3"/>
  <c r="S59" i="3"/>
  <c r="S58" i="3"/>
  <c r="S57" i="3"/>
  <c r="O68" i="3"/>
  <c r="O67" i="3"/>
  <c r="O66" i="3"/>
  <c r="O65" i="3"/>
  <c r="O64" i="3"/>
  <c r="O63" i="3"/>
  <c r="O62" i="3"/>
  <c r="O61" i="3"/>
  <c r="O60" i="3"/>
  <c r="O59" i="3"/>
  <c r="O58" i="3"/>
  <c r="O57" i="3"/>
  <c r="K68" i="3"/>
  <c r="K67" i="3"/>
  <c r="K66" i="3"/>
  <c r="K65" i="3"/>
  <c r="K64" i="3"/>
  <c r="K63" i="3"/>
  <c r="K62" i="3"/>
  <c r="K61" i="3"/>
  <c r="K60" i="3"/>
  <c r="K59" i="3"/>
  <c r="K58" i="3"/>
  <c r="K57" i="3"/>
  <c r="G68" i="3"/>
  <c r="G67" i="3"/>
  <c r="G66" i="3"/>
  <c r="G65" i="3"/>
  <c r="G64" i="3"/>
  <c r="G63" i="3"/>
  <c r="G62" i="3"/>
  <c r="G61" i="3"/>
  <c r="G60" i="3"/>
  <c r="G59" i="3"/>
  <c r="G58" i="3"/>
  <c r="G57" i="3"/>
  <c r="T69" i="3"/>
  <c r="T56" i="3"/>
  <c r="S55" i="3"/>
  <c r="S54" i="3"/>
  <c r="S53" i="3"/>
  <c r="S52" i="3"/>
  <c r="S51" i="3"/>
  <c r="S50" i="3"/>
  <c r="S49" i="3"/>
  <c r="S48" i="3"/>
  <c r="S47" i="3"/>
  <c r="S46" i="3"/>
  <c r="S45" i="3"/>
  <c r="S44" i="3"/>
  <c r="S42" i="3"/>
  <c r="O55" i="3"/>
  <c r="O54" i="3"/>
  <c r="O53" i="3"/>
  <c r="O52" i="3"/>
  <c r="O51" i="3"/>
  <c r="O50" i="3"/>
  <c r="O49" i="3"/>
  <c r="O48" i="3"/>
  <c r="O47" i="3"/>
  <c r="O46" i="3"/>
  <c r="O45" i="3"/>
  <c r="O44" i="3"/>
  <c r="K55" i="3"/>
  <c r="K54" i="3"/>
  <c r="K53" i="3"/>
  <c r="K52" i="3"/>
  <c r="K51" i="3"/>
  <c r="K50" i="3"/>
  <c r="K49" i="3"/>
  <c r="K48" i="3"/>
  <c r="K47" i="3"/>
  <c r="K46" i="3"/>
  <c r="K45" i="3"/>
  <c r="K44" i="3"/>
  <c r="G55" i="3"/>
  <c r="G54" i="3"/>
  <c r="G53" i="3"/>
  <c r="G52" i="3"/>
  <c r="G51" i="3"/>
  <c r="G50" i="3"/>
  <c r="G49" i="3"/>
  <c r="G48" i="3"/>
  <c r="G47" i="3"/>
  <c r="G46" i="3"/>
  <c r="G45" i="3"/>
  <c r="G44" i="3"/>
  <c r="S41" i="3"/>
  <c r="S40" i="3"/>
  <c r="S39" i="3"/>
  <c r="S38" i="3"/>
  <c r="S37" i="3"/>
  <c r="S36" i="3"/>
  <c r="S35" i="3"/>
  <c r="S34" i="3"/>
  <c r="S33" i="3"/>
  <c r="S32" i="3"/>
  <c r="S31" i="3"/>
  <c r="O42" i="3"/>
  <c r="O41" i="3"/>
  <c r="O40" i="3"/>
  <c r="O39" i="3"/>
  <c r="O38" i="3"/>
  <c r="O37" i="3"/>
  <c r="O36" i="3"/>
  <c r="O35" i="3"/>
  <c r="O34" i="3"/>
  <c r="O33" i="3"/>
  <c r="O32" i="3"/>
  <c r="O31" i="3"/>
  <c r="K42" i="3"/>
  <c r="K41" i="3"/>
  <c r="K40" i="3"/>
  <c r="K39" i="3"/>
  <c r="K38" i="3"/>
  <c r="K37" i="3"/>
  <c r="K36" i="3"/>
  <c r="K35" i="3"/>
  <c r="K34" i="3"/>
  <c r="K33" i="3"/>
  <c r="K32" i="3"/>
  <c r="K31" i="3"/>
  <c r="T43" i="3"/>
  <c r="L31" i="1"/>
  <c r="G42" i="3"/>
  <c r="G41" i="3"/>
  <c r="G40" i="3"/>
  <c r="G39" i="3"/>
  <c r="G38" i="3"/>
  <c r="G37" i="3"/>
  <c r="G36" i="3"/>
  <c r="G35" i="3"/>
  <c r="G34" i="3"/>
  <c r="G33" i="3"/>
  <c r="G32" i="3"/>
  <c r="G31" i="3"/>
  <c r="S29" i="3"/>
  <c r="S28" i="3"/>
  <c r="S27" i="3"/>
  <c r="S26" i="3"/>
  <c r="S25" i="3"/>
  <c r="S24" i="3"/>
  <c r="S23" i="3"/>
  <c r="S22" i="3"/>
  <c r="S21" i="3"/>
  <c r="S20" i="3"/>
  <c r="S19" i="3"/>
  <c r="S18" i="3"/>
  <c r="O19" i="3"/>
  <c r="O20" i="3"/>
  <c r="O21" i="3"/>
  <c r="O22" i="3"/>
  <c r="O23" i="3"/>
  <c r="O24" i="3"/>
  <c r="O25" i="3"/>
  <c r="O26" i="3"/>
  <c r="O27" i="3"/>
  <c r="O28" i="3"/>
  <c r="O29" i="3"/>
  <c r="O18" i="3"/>
  <c r="K19" i="3"/>
  <c r="K20" i="3"/>
  <c r="K21" i="3"/>
  <c r="K22" i="3"/>
  <c r="K23" i="3"/>
  <c r="K24" i="3"/>
  <c r="K25" i="3"/>
  <c r="K26" i="3"/>
  <c r="K27" i="3"/>
  <c r="K28" i="3"/>
  <c r="K29" i="3"/>
  <c r="K18" i="3"/>
  <c r="G29" i="3"/>
  <c r="G28" i="3"/>
  <c r="G27" i="3"/>
  <c r="G26" i="3"/>
  <c r="G25" i="3"/>
  <c r="G24" i="3"/>
  <c r="G23" i="3"/>
  <c r="G22" i="3"/>
  <c r="G21" i="3"/>
  <c r="G20" i="3"/>
  <c r="G19" i="3"/>
  <c r="G18" i="3"/>
  <c r="S16" i="3"/>
  <c r="S15" i="3"/>
  <c r="S14" i="3"/>
  <c r="S13" i="3"/>
  <c r="S12" i="3"/>
  <c r="S11" i="3"/>
  <c r="S10" i="3"/>
  <c r="S9" i="3"/>
  <c r="S8" i="3"/>
  <c r="S7" i="3"/>
  <c r="S6" i="3"/>
  <c r="S5" i="3"/>
  <c r="O6" i="3"/>
  <c r="O7" i="3"/>
  <c r="O8" i="3"/>
  <c r="O9" i="3"/>
  <c r="O10" i="3"/>
  <c r="O11" i="3"/>
  <c r="O12" i="3"/>
  <c r="O13" i="3"/>
  <c r="O14" i="3"/>
  <c r="O15" i="3"/>
  <c r="O16" i="3"/>
  <c r="O5" i="3"/>
  <c r="G6" i="3"/>
  <c r="G7" i="3"/>
  <c r="G8" i="3"/>
  <c r="G9" i="3"/>
  <c r="G10" i="3"/>
  <c r="G11" i="3"/>
  <c r="G12" i="3"/>
  <c r="G13" i="3"/>
  <c r="G14" i="3"/>
  <c r="G15" i="3"/>
  <c r="G16" i="3"/>
  <c r="G5" i="3"/>
  <c r="K6" i="3"/>
  <c r="K7" i="3"/>
  <c r="K8" i="3"/>
  <c r="K9" i="3"/>
  <c r="K10" i="3"/>
  <c r="K11" i="3"/>
  <c r="K12" i="3"/>
  <c r="K13" i="3"/>
  <c r="K14" i="3"/>
  <c r="K15" i="3"/>
  <c r="K16" i="3"/>
  <c r="K5" i="3"/>
  <c r="T30" i="3"/>
  <c r="T17" i="3"/>
  <c r="M31" i="1"/>
  <c r="K31" i="1"/>
  <c r="J31" i="1"/>
  <c r="I31" i="1"/>
  <c r="O9" i="1"/>
  <c r="P30" i="2"/>
  <c r="P17" i="2"/>
  <c r="D16" i="4" l="1"/>
  <c r="D12" i="4"/>
  <c r="D8" i="4"/>
  <c r="C16" i="4"/>
  <c r="G16" i="4" s="1"/>
  <c r="C8" i="4"/>
  <c r="E16" i="4"/>
  <c r="E12" i="4"/>
  <c r="E8" i="4"/>
  <c r="F8" i="4"/>
  <c r="F12" i="4"/>
  <c r="F16" i="4"/>
  <c r="C12" i="4"/>
  <c r="G12" i="4" s="1"/>
  <c r="D11" i="4"/>
  <c r="D7" i="4"/>
  <c r="C15" i="4"/>
  <c r="C11" i="4"/>
  <c r="G11" i="4" s="1"/>
  <c r="C7" i="4"/>
  <c r="E15" i="4"/>
  <c r="E11" i="4"/>
  <c r="E7" i="4"/>
  <c r="F9" i="4"/>
  <c r="F13" i="4"/>
  <c r="F17" i="4"/>
  <c r="D15" i="4"/>
  <c r="D6" i="4"/>
  <c r="D14" i="4"/>
  <c r="D10" i="4"/>
  <c r="C6" i="4"/>
  <c r="C14" i="4"/>
  <c r="C10" i="4"/>
  <c r="E6" i="4"/>
  <c r="E14" i="4"/>
  <c r="E10" i="4"/>
  <c r="F6" i="4"/>
  <c r="F10" i="4"/>
  <c r="F14" i="4"/>
  <c r="D17" i="4"/>
  <c r="D13" i="4"/>
  <c r="D9" i="4"/>
  <c r="C17" i="4"/>
  <c r="G17" i="4" s="1"/>
  <c r="C13" i="4"/>
  <c r="C9" i="4"/>
  <c r="E17" i="4"/>
  <c r="E13" i="4"/>
  <c r="E9" i="4"/>
  <c r="F7" i="4"/>
  <c r="F11" i="4"/>
  <c r="F15" i="4"/>
  <c r="K212" i="3"/>
  <c r="G199" i="3"/>
  <c r="G212" i="3"/>
  <c r="O212" i="3"/>
  <c r="S212" i="3"/>
  <c r="O173" i="3"/>
  <c r="K186" i="3"/>
  <c r="K199" i="3"/>
  <c r="S199" i="3"/>
  <c r="O199" i="3"/>
  <c r="G173" i="3"/>
  <c r="S173" i="3"/>
  <c r="S186" i="3"/>
  <c r="K173" i="3"/>
  <c r="G186" i="3"/>
  <c r="O186" i="3"/>
  <c r="G160" i="3"/>
  <c r="O160" i="3"/>
  <c r="S160" i="3"/>
  <c r="K147" i="3"/>
  <c r="K160" i="3"/>
  <c r="K121" i="3"/>
  <c r="S121" i="3"/>
  <c r="G134" i="3"/>
  <c r="O134" i="3"/>
  <c r="S134" i="3"/>
  <c r="K134" i="3"/>
  <c r="G147" i="3"/>
  <c r="O147" i="3"/>
  <c r="S147" i="3"/>
  <c r="S108" i="3"/>
  <c r="G121" i="3"/>
  <c r="O121" i="3"/>
  <c r="K108" i="3"/>
  <c r="G108" i="3"/>
  <c r="O108" i="3"/>
  <c r="K95" i="3"/>
  <c r="G95" i="3"/>
  <c r="O95" i="3"/>
  <c r="S95" i="3"/>
  <c r="G82" i="3"/>
  <c r="O82" i="3"/>
  <c r="K82" i="3"/>
  <c r="S82" i="3"/>
  <c r="S56" i="3"/>
  <c r="G69" i="3"/>
  <c r="S43" i="3"/>
  <c r="G56" i="3"/>
  <c r="K56" i="3"/>
  <c r="O69" i="3"/>
  <c r="S69" i="3"/>
  <c r="O56" i="3"/>
  <c r="K69" i="3"/>
  <c r="O43" i="3"/>
  <c r="G43" i="3"/>
  <c r="K17" i="3"/>
  <c r="G17" i="3"/>
  <c r="G30" i="3"/>
  <c r="K30" i="3"/>
  <c r="O30" i="3"/>
  <c r="S30" i="3"/>
  <c r="O17" i="3"/>
  <c r="S17" i="3"/>
  <c r="K43" i="3"/>
  <c r="C17" i="1"/>
  <c r="O13" i="1"/>
  <c r="C28" i="1"/>
  <c r="E10" i="1"/>
  <c r="O29" i="1"/>
  <c r="F8" i="1"/>
  <c r="O7" i="1"/>
  <c r="E31" i="1"/>
  <c r="S319" i="3" l="1"/>
  <c r="G319" i="3"/>
  <c r="O319" i="3"/>
  <c r="K319" i="3"/>
  <c r="G8" i="4"/>
  <c r="C18" i="4"/>
  <c r="G6" i="4"/>
  <c r="D18" i="4"/>
  <c r="E18" i="4"/>
  <c r="G15" i="4"/>
  <c r="G9" i="4"/>
  <c r="F18" i="4"/>
  <c r="G10" i="4"/>
  <c r="G13" i="4"/>
  <c r="G14" i="4"/>
  <c r="G7" i="4"/>
  <c r="O19" i="1"/>
  <c r="O28" i="1"/>
  <c r="O27" i="1"/>
  <c r="O11" i="1"/>
  <c r="O15" i="1"/>
  <c r="O23" i="1"/>
  <c r="O26" i="1"/>
  <c r="O30" i="1"/>
  <c r="O20" i="1"/>
  <c r="O18" i="1"/>
  <c r="O21" i="1"/>
  <c r="O10" i="1"/>
  <c r="D31" i="1"/>
  <c r="N31" i="1"/>
  <c r="O25" i="1"/>
  <c r="O16" i="1"/>
  <c r="F31" i="1"/>
  <c r="O24" i="1"/>
  <c r="O8" i="1"/>
  <c r="H31" i="1"/>
  <c r="O17" i="1"/>
  <c r="G18" i="4" l="1"/>
  <c r="O12" i="1"/>
  <c r="G31" i="1"/>
  <c r="O14" i="1"/>
  <c r="O22" i="1"/>
  <c r="C31" i="1"/>
  <c r="O31" i="1" l="1"/>
</calcChain>
</file>

<file path=xl/sharedStrings.xml><?xml version="1.0" encoding="utf-8"?>
<sst xmlns="http://schemas.openxmlformats.org/spreadsheetml/2006/main" count="2120" uniqueCount="228">
  <si>
    <t>PROVINSI SULAWESI SELATAN</t>
  </si>
  <si>
    <t>NO</t>
  </si>
  <si>
    <t>KAB / KOTA</t>
  </si>
  <si>
    <t>JENIS BENCANA</t>
  </si>
  <si>
    <t>Banjir</t>
  </si>
  <si>
    <t>Banjir Bandang</t>
  </si>
  <si>
    <t>Tanah Longsor</t>
  </si>
  <si>
    <t>Angin Kencang</t>
  </si>
  <si>
    <t>Putting Beliung</t>
  </si>
  <si>
    <t>Kebakaran</t>
  </si>
  <si>
    <t>Abrasi</t>
  </si>
  <si>
    <t>Cuaca Ekstrim</t>
  </si>
  <si>
    <t>Gelombang Pasang</t>
  </si>
  <si>
    <t>Kekeringan</t>
  </si>
  <si>
    <t>Gempa Bumi</t>
  </si>
  <si>
    <t>JUMLAH</t>
  </si>
  <si>
    <t>SELAYAR</t>
  </si>
  <si>
    <t>BANTAENG</t>
  </si>
  <si>
    <t>SINJAI</t>
  </si>
  <si>
    <t>BULUKUMBA</t>
  </si>
  <si>
    <t>JENEPONTO</t>
  </si>
  <si>
    <t>TAKALAR</t>
  </si>
  <si>
    <t>GOWA</t>
  </si>
  <si>
    <t>MAKASSAR</t>
  </si>
  <si>
    <t>MAROS</t>
  </si>
  <si>
    <t>PANGKEP</t>
  </si>
  <si>
    <t>BARRU</t>
  </si>
  <si>
    <t>PARE-PARE</t>
  </si>
  <si>
    <t>SIDRAP</t>
  </si>
  <si>
    <t>WAJO</t>
  </si>
  <si>
    <t>PINRANG</t>
  </si>
  <si>
    <t>SOPPENG</t>
  </si>
  <si>
    <t>BONE</t>
  </si>
  <si>
    <t>ENREKANG</t>
  </si>
  <si>
    <t>TANA TORAJA</t>
  </si>
  <si>
    <t>TORAJA UTARA</t>
  </si>
  <si>
    <t>LUWU</t>
  </si>
  <si>
    <t>PALOPO</t>
  </si>
  <si>
    <t>LUWU UTARA</t>
  </si>
  <si>
    <t>LUWU TIMUR</t>
  </si>
  <si>
    <t>Karhutla</t>
  </si>
  <si>
    <t>BULAN</t>
  </si>
  <si>
    <t>JML KEJADIAN</t>
  </si>
  <si>
    <t>JAN</t>
  </si>
  <si>
    <t>FEB</t>
  </si>
  <si>
    <t>MAR</t>
  </si>
  <si>
    <t>APR</t>
  </si>
  <si>
    <t>MEI</t>
  </si>
  <si>
    <t>JUN</t>
  </si>
  <si>
    <t>JUL</t>
  </si>
  <si>
    <t>AGUST</t>
  </si>
  <si>
    <t>SEPT</t>
  </si>
  <si>
    <t>OKT</t>
  </si>
  <si>
    <t>NOV</t>
  </si>
  <si>
    <t>DES</t>
  </si>
  <si>
    <t>(Total)</t>
  </si>
  <si>
    <t>BANJIR</t>
  </si>
  <si>
    <t>GELOMBANG PASANG</t>
  </si>
  <si>
    <t>TANAH LONGSOR</t>
  </si>
  <si>
    <t>BANJIR BANDANG</t>
  </si>
  <si>
    <t>CUACA EKSTRIM</t>
  </si>
  <si>
    <t>GEMPA BUMI</t>
  </si>
  <si>
    <t>KEBAKARAN</t>
  </si>
  <si>
    <t>ANGIN KENCANG</t>
  </si>
  <si>
    <t>ANGIN PUTING BELIUNG</t>
  </si>
  <si>
    <t>ABRASI</t>
  </si>
  <si>
    <t>KARHUTLA</t>
  </si>
  <si>
    <t>KEKERINGAN</t>
  </si>
  <si>
    <t>Triwulan I</t>
  </si>
  <si>
    <t>Triwulan II</t>
  </si>
  <si>
    <t>Triwulan III</t>
  </si>
  <si>
    <t>Triwulan IV</t>
  </si>
  <si>
    <t>4+5+6</t>
  </si>
  <si>
    <t>7+8+9</t>
  </si>
  <si>
    <t>10+11+12</t>
  </si>
  <si>
    <t>13+14+15</t>
  </si>
  <si>
    <t xml:space="preserve">DATA KEJADIAN BENCANA TAHUN 2023 PER JENIS BENCANA </t>
  </si>
  <si>
    <t>KEJADIAN BENCANA</t>
  </si>
  <si>
    <t>TRIWULAN I</t>
  </si>
  <si>
    <t>TRIWULAN II</t>
  </si>
  <si>
    <t>TRIWULAN III</t>
  </si>
  <si>
    <t>TRIWULAN IV</t>
  </si>
  <si>
    <t>DATA KEJADIAN BENCANA TAHUN 2023 PER TRIWULAN</t>
  </si>
  <si>
    <t xml:space="preserve">TOTAL KEJADIAN </t>
  </si>
  <si>
    <t>THN 2023</t>
  </si>
  <si>
    <t>KAB. KEP. SELAYAR</t>
  </si>
  <si>
    <t>KAB. BULUKUMBA</t>
  </si>
  <si>
    <t>KAB. BANTAENG</t>
  </si>
  <si>
    <t>KAB. JENEPONTO</t>
  </si>
  <si>
    <t>KAB. TAKALAR</t>
  </si>
  <si>
    <t>KAB. SINJAI</t>
  </si>
  <si>
    <t>KAB. MAROS</t>
  </si>
  <si>
    <t>KAB. PANKEP</t>
  </si>
  <si>
    <t>KAB. BONE</t>
  </si>
  <si>
    <t>KAB. BARRU</t>
  </si>
  <si>
    <t>KAB. SOPPENG</t>
  </si>
  <si>
    <t>KAB. SIDRAP</t>
  </si>
  <si>
    <t>KAB. PNRANG</t>
  </si>
  <si>
    <t>KAB. ENREKANG</t>
  </si>
  <si>
    <t>KAB. LUWU</t>
  </si>
  <si>
    <t>KAB. TANA TORAJA</t>
  </si>
  <si>
    <t>KAB. LUWU UTARA</t>
  </si>
  <si>
    <t>KAB. LUWU TIMUR</t>
  </si>
  <si>
    <t>KAB. TORAJA UTARA</t>
  </si>
  <si>
    <t>KOTA MAKASSAR</t>
  </si>
  <si>
    <t>KOTA PAREPARE</t>
  </si>
  <si>
    <t>KOTA PALOPO</t>
  </si>
  <si>
    <t>RUMAH</t>
  </si>
  <si>
    <t xml:space="preserve">DATA KERUSAKAN BENCANA TAHUN 2023 </t>
  </si>
  <si>
    <t>PERKANTORAN</t>
  </si>
  <si>
    <t>DATA TERDAMPAK BENCANA TAHUN 2023 PER KABUPATEN</t>
  </si>
  <si>
    <t xml:space="preserve">LAPORAN KEJADIAN BENCANA </t>
  </si>
  <si>
    <t>PROPINSI SULAWESI SELATAN</t>
  </si>
  <si>
    <t>JANUARI S/D DESEMBER TAHUN 2023</t>
  </si>
  <si>
    <t>KK</t>
  </si>
  <si>
    <t>KORBAN/JIWA</t>
  </si>
  <si>
    <t>JML KORBAN</t>
  </si>
  <si>
    <t>SARANA</t>
  </si>
  <si>
    <t>JML SARANA</t>
  </si>
  <si>
    <t>JLN</t>
  </si>
  <si>
    <t>SAWAH</t>
  </si>
  <si>
    <t>KOLAM/ TAMBAK</t>
  </si>
  <si>
    <t>KEBUN</t>
  </si>
  <si>
    <t>TERNAK</t>
  </si>
  <si>
    <t>KIOS</t>
  </si>
  <si>
    <t>PABRIK</t>
  </si>
  <si>
    <t>IRIGASI</t>
  </si>
  <si>
    <t>TOTAL  TERDAMPAK BENCANA</t>
  </si>
  <si>
    <t>TAKSIRAN KERUGIAN</t>
  </si>
  <si>
    <t>JUMLAH KEJADIAN</t>
  </si>
  <si>
    <t>HILANG/ MATI</t>
  </si>
  <si>
    <t>LUKA/ SAKIT</t>
  </si>
  <si>
    <t>MENGUNGSI</t>
  </si>
  <si>
    <t>TOTAL TERDAMPAK</t>
  </si>
  <si>
    <t>PENDIDIKAN</t>
  </si>
  <si>
    <t>IBADAH</t>
  </si>
  <si>
    <t>KESEHATAN</t>
  </si>
  <si>
    <t>TOTAL SARANA</t>
  </si>
  <si>
    <t>MENINGGAL</t>
  </si>
  <si>
    <t>LUKA SAKIT</t>
  </si>
  <si>
    <t>HILANG</t>
  </si>
  <si>
    <t>TENGGELAM</t>
  </si>
  <si>
    <t>TERDAMPAK</t>
  </si>
  <si>
    <t>PENGUNGSI</t>
  </si>
  <si>
    <t>(jiwa)</t>
  </si>
  <si>
    <t>(m)</t>
  </si>
  <si>
    <t>(ha)</t>
  </si>
  <si>
    <t>(unit)</t>
  </si>
  <si>
    <t>KABUPATEN</t>
  </si>
  <si>
    <t>SKLH</t>
  </si>
  <si>
    <t>RMH IBDH</t>
  </si>
  <si>
    <t>SAR KES</t>
  </si>
  <si>
    <t>KTR</t>
  </si>
  <si>
    <t>JEMBATAN</t>
  </si>
  <si>
    <t>SWH</t>
  </si>
  <si>
    <t>TAMBAK</t>
  </si>
  <si>
    <t>KBN/HTN</t>
  </si>
  <si>
    <t>Selayar</t>
  </si>
  <si>
    <t>Bulukumba</t>
  </si>
  <si>
    <t>Bantaeng</t>
  </si>
  <si>
    <t>Jeneponto</t>
  </si>
  <si>
    <t>Takalar</t>
  </si>
  <si>
    <t>Gowa</t>
  </si>
  <si>
    <t>Sinjai</t>
  </si>
  <si>
    <t>Maros</t>
  </si>
  <si>
    <t>Pangkep</t>
  </si>
  <si>
    <t>Barru</t>
  </si>
  <si>
    <t>Bone</t>
  </si>
  <si>
    <t>Soppeng</t>
  </si>
  <si>
    <t xml:space="preserve"> </t>
  </si>
  <si>
    <t>Wajo</t>
  </si>
  <si>
    <t>Sidrap</t>
  </si>
  <si>
    <t>Pinrang</t>
  </si>
  <si>
    <t>Enrekang</t>
  </si>
  <si>
    <t>Luwu</t>
  </si>
  <si>
    <t>Tana Toraja</t>
  </si>
  <si>
    <t>Luwu Utara</t>
  </si>
  <si>
    <t>Toraja Utara</t>
  </si>
  <si>
    <t>Luwu Timur</t>
  </si>
  <si>
    <t>Kota Pare-pare</t>
  </si>
  <si>
    <t>Kota Palopo</t>
  </si>
  <si>
    <t>Kota Makassar</t>
  </si>
  <si>
    <t>KAB/KOTA</t>
  </si>
  <si>
    <t>HLG</t>
  </si>
  <si>
    <t>UNGSI</t>
  </si>
  <si>
    <t>JIWA</t>
  </si>
  <si>
    <t>s</t>
  </si>
  <si>
    <t xml:space="preserve">JUMLAH </t>
  </si>
  <si>
    <t>TOTAL</t>
  </si>
  <si>
    <t>KAB. GOWA</t>
  </si>
  <si>
    <t>KAB. WAJO</t>
  </si>
  <si>
    <t>DATA KORBAN JIWA BENCANA TAHUN 2023</t>
  </si>
  <si>
    <t>KORBAN JIWA</t>
  </si>
  <si>
    <t>(Jiwa)</t>
  </si>
  <si>
    <t>TOTAL KORBAN JIWA</t>
  </si>
  <si>
    <t>NO.</t>
  </si>
  <si>
    <t>Meninggal</t>
  </si>
  <si>
    <t>Luka/Sakit</t>
  </si>
  <si>
    <t>Hilang</t>
  </si>
  <si>
    <t>Tenggelam</t>
  </si>
  <si>
    <t>Terdampak</t>
  </si>
  <si>
    <t>Mengungsi</t>
  </si>
  <si>
    <t>Rumah</t>
  </si>
  <si>
    <t>KERUSAKAN SARANA PRASARANA</t>
  </si>
  <si>
    <t>Pendidikan</t>
  </si>
  <si>
    <t>Ibadah</t>
  </si>
  <si>
    <t>Kesehatan</t>
  </si>
  <si>
    <t>Perkantoran</t>
  </si>
  <si>
    <t>Jalan</t>
  </si>
  <si>
    <t>Sawah</t>
  </si>
  <si>
    <t>Kolam/Tambak</t>
  </si>
  <si>
    <t>Kebun</t>
  </si>
  <si>
    <t>Ternak</t>
  </si>
  <si>
    <t>Kios</t>
  </si>
  <si>
    <t>Pabrik</t>
  </si>
  <si>
    <t>Irigasi</t>
  </si>
  <si>
    <t xml:space="preserve">TOTAL </t>
  </si>
  <si>
    <t>KERUSAKAN</t>
  </si>
  <si>
    <t>KOTA</t>
  </si>
  <si>
    <t>KAB. PINRANG</t>
  </si>
  <si>
    <t>KABUPATEN /KOTA</t>
  </si>
  <si>
    <t>DATA KERUSAKAN RUMAH AKIBAT BENCANA TAHUN 2023</t>
  </si>
  <si>
    <t>KABUPATEN/KOTA</t>
  </si>
  <si>
    <t>Berat</t>
  </si>
  <si>
    <t>Sedang</t>
  </si>
  <si>
    <t>Ringan</t>
  </si>
  <si>
    <t>TOTAL KERUSAKAN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</si>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</sst>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p&quot;* #,##0_);_(&quot;Rp&quot;* \(#,##0\);_(&quot;Rp&quot;* &quot;-&quot;_);_(@_)"/>
    <numFmt numFmtId="165" formatCode="_-[$Rp-421]* #,##0_ ;_-[$Rp-421]* \-#,##0\ ;_-[$Rp-421]* &quot;-&quot;??_ ;_-@_ 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b/>
      <i/>
      <sz val="7"/>
      <color rgb="FF000000"/>
      <name val="Calibri"/>
      <family val="2"/>
      <scheme val="minor"/>
    </font>
    <font>
      <sz val="6"/>
      <color theme="1"/>
      <name val="Times New Roman"/>
      <family val="1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7"/>
      <color theme="1"/>
      <name val="Times New Roman"/>
      <family val="1"/>
    </font>
    <font>
      <sz val="5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</fills>
  <borders count="9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mediumDashed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Dashed">
        <color rgb="FF000000"/>
      </top>
      <bottom style="mediumDash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ash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auto="1"/>
      </right>
      <top style="dotted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425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 wrapText="1"/>
    </xf>
    <xf numFmtId="0" fontId="5" fillId="6" borderId="14" xfId="0" applyFont="1" applyFill="1" applyBorder="1" applyAlignment="1">
      <alignment vertical="center" wrapText="1"/>
    </xf>
    <xf numFmtId="0" fontId="0" fillId="6" borderId="15" xfId="0" applyFill="1" applyBorder="1" applyAlignment="1">
      <alignment vertical="top" wrapText="1"/>
    </xf>
    <xf numFmtId="0" fontId="4" fillId="6" borderId="17" xfId="0" applyFont="1" applyFill="1" applyBorder="1" applyAlignment="1">
      <alignment vertical="center" wrapText="1"/>
    </xf>
    <xf numFmtId="0" fontId="7" fillId="6" borderId="18" xfId="0" applyFont="1" applyFill="1" applyBorder="1" applyAlignment="1">
      <alignment horizontal="left" vertical="center" wrapText="1" indent="2"/>
    </xf>
    <xf numFmtId="0" fontId="0" fillId="6" borderId="19" xfId="0" applyFill="1" applyBorder="1" applyAlignment="1">
      <alignment vertical="top" wrapText="1"/>
    </xf>
    <xf numFmtId="0" fontId="7" fillId="6" borderId="18" xfId="0" applyFont="1" applyFill="1" applyBorder="1" applyAlignment="1">
      <alignment horizontal="left" vertical="center" wrapText="1" indent="4"/>
    </xf>
    <xf numFmtId="0" fontId="0" fillId="6" borderId="21" xfId="0" applyFill="1" applyBorder="1" applyAlignment="1">
      <alignment vertical="top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vertical="center" wrapText="1" inden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 indent="1"/>
    </xf>
    <xf numFmtId="0" fontId="9" fillId="7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0" fontId="11" fillId="8" borderId="19" xfId="0" applyFont="1" applyFill="1" applyBorder="1" applyAlignment="1">
      <alignment horizontal="left" vertical="center" wrapText="1" indent="1"/>
    </xf>
    <xf numFmtId="0" fontId="12" fillId="0" borderId="0" xfId="0" applyFont="1"/>
    <xf numFmtId="0" fontId="6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13" fillId="7" borderId="28" xfId="0" applyFont="1" applyFill="1" applyBorder="1" applyAlignment="1">
      <alignment horizontal="left" vertical="center" wrapText="1" indent="2"/>
    </xf>
    <xf numFmtId="0" fontId="13" fillId="7" borderId="19" xfId="0" applyFont="1" applyFill="1" applyBorder="1" applyAlignment="1">
      <alignment horizontal="left" vertical="center" wrapText="1" indent="2"/>
    </xf>
    <xf numFmtId="0" fontId="11" fillId="8" borderId="19" xfId="0" applyFont="1" applyFill="1" applyBorder="1" applyAlignment="1">
      <alignment horizontal="right" vertical="center" wrapText="1"/>
    </xf>
    <xf numFmtId="0" fontId="6" fillId="0" borderId="28" xfId="0" applyFont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left" vertical="center" wrapText="1" indent="1"/>
    </xf>
    <xf numFmtId="0" fontId="11" fillId="8" borderId="28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left" vertical="center" wrapText="1" indent="1"/>
    </xf>
    <xf numFmtId="0" fontId="13" fillId="7" borderId="21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left" vertical="center" wrapText="1" indent="1"/>
    </xf>
    <xf numFmtId="0" fontId="7" fillId="9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10" borderId="19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8" fillId="0" borderId="0" xfId="0" applyFont="1"/>
    <xf numFmtId="0" fontId="13" fillId="9" borderId="21" xfId="0" applyFont="1" applyFill="1" applyBorder="1" applyAlignment="1">
      <alignment horizontal="left" vertical="center" wrapText="1" indent="1"/>
    </xf>
    <xf numFmtId="0" fontId="6" fillId="10" borderId="32" xfId="0" applyFont="1" applyFill="1" applyBorder="1" applyAlignment="1">
      <alignment vertical="center" wrapText="1"/>
    </xf>
    <xf numFmtId="0" fontId="6" fillId="10" borderId="33" xfId="0" applyFont="1" applyFill="1" applyBorder="1" applyAlignment="1">
      <alignment vertical="center" wrapText="1"/>
    </xf>
    <xf numFmtId="0" fontId="19" fillId="10" borderId="33" xfId="0" applyFont="1" applyFill="1" applyBorder="1" applyAlignment="1">
      <alignment horizontal="center" vertical="center" wrapText="1"/>
    </xf>
    <xf numFmtId="0" fontId="19" fillId="10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23" fillId="9" borderId="5" xfId="0" applyFont="1" applyFill="1" applyBorder="1" applyAlignment="1">
      <alignment horizontal="center"/>
    </xf>
    <xf numFmtId="0" fontId="23" fillId="9" borderId="5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/>
    </xf>
    <xf numFmtId="0" fontId="0" fillId="3" borderId="0" xfId="0" applyFill="1"/>
    <xf numFmtId="0" fontId="20" fillId="0" borderId="41" xfId="1" applyBorder="1"/>
    <xf numFmtId="0" fontId="20" fillId="0" borderId="0" xfId="1"/>
    <xf numFmtId="0" fontId="20" fillId="0" borderId="0" xfId="1" applyAlignment="1">
      <alignment vertical="center"/>
    </xf>
    <xf numFmtId="0" fontId="12" fillId="0" borderId="0" xfId="1" applyFont="1" applyAlignment="1">
      <alignment horizontal="center" vertical="center"/>
    </xf>
    <xf numFmtId="164" fontId="0" fillId="0" borderId="0" xfId="0" applyNumberFormat="1"/>
    <xf numFmtId="0" fontId="24" fillId="6" borderId="5" xfId="1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 wrapText="1"/>
    </xf>
    <xf numFmtId="0" fontId="24" fillId="14" borderId="5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vertical="center"/>
    </xf>
    <xf numFmtId="164" fontId="24" fillId="9" borderId="6" xfId="0" applyNumberFormat="1" applyFont="1" applyFill="1" applyBorder="1" applyAlignment="1">
      <alignment horizontal="center" vertical="center" wrapText="1"/>
    </xf>
    <xf numFmtId="0" fontId="24" fillId="6" borderId="53" xfId="1" applyFont="1" applyFill="1" applyBorder="1" applyAlignment="1">
      <alignment horizontal="center" vertical="center" wrapText="1"/>
    </xf>
    <xf numFmtId="0" fontId="24" fillId="7" borderId="53" xfId="1" applyFont="1" applyFill="1" applyBorder="1" applyAlignment="1">
      <alignment horizontal="center" vertical="center" wrapText="1"/>
    </xf>
    <xf numFmtId="0" fontId="24" fillId="13" borderId="53" xfId="1" applyFont="1" applyFill="1" applyBorder="1" applyAlignment="1">
      <alignment horizontal="center" vertical="center"/>
    </xf>
    <xf numFmtId="0" fontId="24" fillId="14" borderId="54" xfId="1" applyFont="1" applyFill="1" applyBorder="1" applyAlignment="1">
      <alignment horizontal="center" vertical="center"/>
    </xf>
    <xf numFmtId="0" fontId="24" fillId="7" borderId="54" xfId="1" applyFont="1" applyFill="1" applyBorder="1" applyAlignment="1">
      <alignment horizontal="center" vertical="center"/>
    </xf>
    <xf numFmtId="0" fontId="24" fillId="6" borderId="54" xfId="1" applyFont="1" applyFill="1" applyBorder="1" applyAlignment="1">
      <alignment horizontal="center" vertical="center"/>
    </xf>
    <xf numFmtId="0" fontId="24" fillId="15" borderId="5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4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55" xfId="1" applyFont="1" applyBorder="1" applyAlignment="1">
      <alignment horizontal="center"/>
    </xf>
    <xf numFmtId="0" fontId="2" fillId="7" borderId="55" xfId="1" applyFont="1" applyFill="1" applyBorder="1" applyAlignment="1">
      <alignment horizontal="center"/>
    </xf>
    <xf numFmtId="0" fontId="2" fillId="0" borderId="56" xfId="1" applyFont="1" applyBorder="1" applyAlignment="1">
      <alignment horizontal="center"/>
    </xf>
    <xf numFmtId="0" fontId="2" fillId="7" borderId="56" xfId="1" applyFont="1" applyFill="1" applyBorder="1" applyAlignment="1">
      <alignment horizontal="center"/>
    </xf>
    <xf numFmtId="164" fontId="2" fillId="0" borderId="57" xfId="0" applyNumberFormat="1" applyFont="1" applyBorder="1" applyAlignment="1">
      <alignment horizontal="center" vertical="center"/>
    </xf>
    <xf numFmtId="0" fontId="21" fillId="0" borderId="5" xfId="0" applyFont="1" applyBorder="1"/>
    <xf numFmtId="0" fontId="21" fillId="7" borderId="5" xfId="0" applyFont="1" applyFill="1" applyBorder="1"/>
    <xf numFmtId="164" fontId="21" fillId="0" borderId="5" xfId="0" applyNumberFormat="1" applyFont="1" applyBorder="1"/>
    <xf numFmtId="0" fontId="21" fillId="0" borderId="58" xfId="2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9" xfId="0" quotePrefix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8" borderId="59" xfId="0" applyFill="1" applyBorder="1" applyAlignment="1">
      <alignment horizontal="center" vertical="center"/>
    </xf>
    <xf numFmtId="0" fontId="1" fillId="7" borderId="59" xfId="0" applyFon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0" fontId="21" fillId="0" borderId="5" xfId="2" applyFont="1" applyBorder="1" applyAlignment="1">
      <alignment horizontal="left" vertical="center"/>
    </xf>
    <xf numFmtId="0" fontId="21" fillId="0" borderId="60" xfId="2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61" xfId="0" quotePrefix="1" applyFont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0" borderId="61" xfId="0" quotePrefix="1" applyBorder="1" applyAlignment="1">
      <alignment horizontal="center" vertical="center"/>
    </xf>
    <xf numFmtId="164" fontId="0" fillId="0" borderId="61" xfId="0" applyNumberFormat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21" fillId="0" borderId="8" xfId="2" applyFont="1" applyBorder="1" applyAlignment="1">
      <alignment horizontal="left" vertical="center"/>
    </xf>
    <xf numFmtId="0" fontId="21" fillId="0" borderId="8" xfId="0" applyFont="1" applyBorder="1"/>
    <xf numFmtId="0" fontId="21" fillId="7" borderId="8" xfId="0" applyFont="1" applyFill="1" applyBorder="1"/>
    <xf numFmtId="164" fontId="21" fillId="0" borderId="8" xfId="0" applyNumberFormat="1" applyFont="1" applyBorder="1"/>
    <xf numFmtId="0" fontId="21" fillId="0" borderId="35" xfId="2" applyFont="1" applyBorder="1" applyAlignment="1">
      <alignment horizontal="left" vertical="center"/>
    </xf>
    <xf numFmtId="0" fontId="21" fillId="0" borderId="35" xfId="0" applyFont="1" applyBorder="1"/>
    <xf numFmtId="0" fontId="21" fillId="7" borderId="35" xfId="0" applyFont="1" applyFill="1" applyBorder="1"/>
    <xf numFmtId="164" fontId="21" fillId="0" borderId="35" xfId="0" applyNumberFormat="1" applyFont="1" applyBorder="1"/>
    <xf numFmtId="164" fontId="0" fillId="8" borderId="61" xfId="0" applyNumberFormat="1" applyFill="1" applyBorder="1" applyAlignment="1">
      <alignment horizontal="center" vertical="center"/>
    </xf>
    <xf numFmtId="0" fontId="0" fillId="16" borderId="61" xfId="0" applyFill="1" applyBorder="1" applyAlignment="1">
      <alignment horizontal="center" vertical="center"/>
    </xf>
    <xf numFmtId="0" fontId="21" fillId="0" borderId="62" xfId="2" applyFont="1" applyBorder="1" applyAlignment="1">
      <alignment horizontal="center" vertical="center"/>
    </xf>
    <xf numFmtId="0" fontId="21" fillId="0" borderId="63" xfId="2" applyFont="1" applyBorder="1" applyAlignment="1">
      <alignment horizontal="center" vertical="center"/>
    </xf>
    <xf numFmtId="0" fontId="21" fillId="0" borderId="64" xfId="2" applyFont="1" applyBorder="1" applyAlignment="1">
      <alignment horizontal="center" vertical="center"/>
    </xf>
    <xf numFmtId="0" fontId="21" fillId="0" borderId="65" xfId="2" applyFont="1" applyBorder="1" applyAlignment="1">
      <alignment horizontal="center" vertical="center"/>
    </xf>
    <xf numFmtId="0" fontId="0" fillId="17" borderId="0" xfId="0" applyFill="1" applyAlignment="1">
      <alignment horizontal="center"/>
    </xf>
    <xf numFmtId="0" fontId="24" fillId="9" borderId="8" xfId="0" applyFont="1" applyFill="1" applyBorder="1" applyAlignment="1">
      <alignment horizontal="center" vertical="center"/>
    </xf>
    <xf numFmtId="0" fontId="24" fillId="17" borderId="8" xfId="0" applyFont="1" applyFill="1" applyBorder="1" applyAlignment="1">
      <alignment horizontal="center" vertical="center"/>
    </xf>
    <xf numFmtId="0" fontId="21" fillId="0" borderId="66" xfId="2" applyFont="1" applyBorder="1" applyAlignment="1">
      <alignment horizontal="center" vertical="center"/>
    </xf>
    <xf numFmtId="0" fontId="0" fillId="17" borderId="0" xfId="0" applyFill="1"/>
    <xf numFmtId="0" fontId="24" fillId="9" borderId="47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0" fillId="8" borderId="67" xfId="0" applyNumberFormat="1" applyFill="1" applyBorder="1" applyAlignment="1">
      <alignment horizontal="center"/>
    </xf>
    <xf numFmtId="0" fontId="1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1" fillId="8" borderId="61" xfId="0" applyFont="1" applyFill="1" applyBorder="1" applyAlignment="1">
      <alignment horizontal="center" vertical="center"/>
    </xf>
    <xf numFmtId="0" fontId="26" fillId="0" borderId="0" xfId="0" applyFont="1"/>
    <xf numFmtId="164" fontId="26" fillId="0" borderId="0" xfId="0" applyNumberFormat="1" applyFont="1"/>
    <xf numFmtId="0" fontId="26" fillId="3" borderId="0" xfId="0" applyFont="1" applyFill="1"/>
    <xf numFmtId="0" fontId="20" fillId="0" borderId="0" xfId="0" applyFont="1"/>
    <xf numFmtId="164" fontId="20" fillId="0" borderId="0" xfId="0" applyNumberFormat="1" applyFont="1"/>
    <xf numFmtId="0" fontId="20" fillId="3" borderId="0" xfId="0" applyFont="1" applyFill="1"/>
    <xf numFmtId="164" fontId="26" fillId="8" borderId="61" xfId="0" applyNumberFormat="1" applyFont="1" applyFill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8" borderId="61" xfId="0" applyFont="1" applyFill="1" applyBorder="1" applyAlignment="1">
      <alignment horizontal="center" vertical="center"/>
    </xf>
    <xf numFmtId="164" fontId="20" fillId="0" borderId="61" xfId="0" applyNumberFormat="1" applyFont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24" fillId="16" borderId="0" xfId="1" applyFont="1" applyFill="1" applyAlignment="1">
      <alignment horizontal="center" vertical="center"/>
    </xf>
    <xf numFmtId="0" fontId="24" fillId="3" borderId="68" xfId="1" applyFont="1" applyFill="1" applyBorder="1" applyAlignment="1">
      <alignment horizontal="center" vertical="center"/>
    </xf>
    <xf numFmtId="0" fontId="20" fillId="4" borderId="61" xfId="0" applyFont="1" applyFill="1" applyBorder="1" applyAlignment="1">
      <alignment horizontal="center" vertical="center"/>
    </xf>
    <xf numFmtId="164" fontId="20" fillId="8" borderId="61" xfId="0" applyNumberFormat="1" applyFont="1" applyFill="1" applyBorder="1" applyAlignment="1">
      <alignment horizontal="center" vertical="center"/>
    </xf>
    <xf numFmtId="0" fontId="21" fillId="0" borderId="69" xfId="2" applyFont="1" applyBorder="1" applyAlignment="1">
      <alignment horizontal="center" vertical="center"/>
    </xf>
    <xf numFmtId="0" fontId="24" fillId="18" borderId="9" xfId="1" applyFont="1" applyFill="1" applyBorder="1" applyAlignment="1">
      <alignment horizontal="center" vertical="center"/>
    </xf>
    <xf numFmtId="164" fontId="24" fillId="18" borderId="9" xfId="1" applyNumberFormat="1" applyFont="1" applyFill="1" applyBorder="1" applyAlignment="1">
      <alignment horizontal="center" vertical="center"/>
    </xf>
    <xf numFmtId="0" fontId="0" fillId="0" borderId="36" xfId="0" applyBorder="1"/>
    <xf numFmtId="0" fontId="0" fillId="0" borderId="40" xfId="0" applyBorder="1"/>
    <xf numFmtId="0" fontId="0" fillId="0" borderId="71" xfId="0" applyBorder="1" applyAlignment="1">
      <alignment horizontal="center" vertical="center"/>
    </xf>
    <xf numFmtId="0" fontId="24" fillId="6" borderId="78" xfId="0" applyFont="1" applyFill="1" applyBorder="1" applyAlignment="1">
      <alignment horizontal="center" vertical="center" wrapText="1"/>
    </xf>
    <xf numFmtId="0" fontId="24" fillId="6" borderId="8" xfId="1" applyFont="1" applyFill="1" applyBorder="1" applyAlignment="1">
      <alignment horizontal="center" vertical="center"/>
    </xf>
    <xf numFmtId="0" fontId="24" fillId="6" borderId="82" xfId="1" applyFont="1" applyFill="1" applyBorder="1" applyAlignment="1">
      <alignment horizontal="center" vertical="center"/>
    </xf>
    <xf numFmtId="0" fontId="2" fillId="0" borderId="83" xfId="1" applyFont="1" applyBorder="1" applyAlignment="1">
      <alignment horizontal="center"/>
    </xf>
    <xf numFmtId="0" fontId="2" fillId="0" borderId="84" xfId="1" applyFont="1" applyBorder="1" applyAlignment="1">
      <alignment horizontal="center"/>
    </xf>
    <xf numFmtId="0" fontId="2" fillId="0" borderId="85" xfId="1" applyFont="1" applyBorder="1" applyAlignment="1">
      <alignment horizontal="center"/>
    </xf>
    <xf numFmtId="0" fontId="24" fillId="3" borderId="56" xfId="1" applyFont="1" applyFill="1" applyBorder="1" applyAlignment="1">
      <alignment horizontal="center" vertical="center"/>
    </xf>
    <xf numFmtId="0" fontId="24" fillId="3" borderId="85" xfId="1" applyFont="1" applyFill="1" applyBorder="1" applyAlignment="1">
      <alignment horizontal="center" vertical="center"/>
    </xf>
    <xf numFmtId="0" fontId="24" fillId="3" borderId="55" xfId="1" applyFont="1" applyFill="1" applyBorder="1" applyAlignment="1">
      <alignment horizontal="center" vertical="center"/>
    </xf>
    <xf numFmtId="0" fontId="21" fillId="0" borderId="73" xfId="2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1" fillId="0" borderId="40" xfId="2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78" xfId="0" applyFill="1" applyBorder="1" applyAlignment="1">
      <alignment horizontal="center" vertical="center"/>
    </xf>
    <xf numFmtId="0" fontId="25" fillId="0" borderId="40" xfId="2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6" fillId="8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0" fillId="9" borderId="54" xfId="0" applyFill="1" applyBorder="1" applyAlignment="1">
      <alignment horizontal="center" vertical="center"/>
    </xf>
    <xf numFmtId="0" fontId="0" fillId="9" borderId="79" xfId="0" applyFill="1" applyBorder="1" applyAlignment="1">
      <alignment horizontal="center" vertical="center"/>
    </xf>
    <xf numFmtId="0" fontId="2" fillId="0" borderId="5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71" xfId="0" applyFont="1" applyBorder="1" applyAlignment="1">
      <alignment horizontal="center" vertical="center"/>
    </xf>
    <xf numFmtId="0" fontId="0" fillId="8" borderId="71" xfId="0" applyFill="1" applyBorder="1" applyAlignment="1">
      <alignment horizontal="center" vertical="center"/>
    </xf>
    <xf numFmtId="0" fontId="1" fillId="7" borderId="71" xfId="0" applyFont="1" applyFill="1" applyBorder="1" applyAlignment="1">
      <alignment horizontal="center" vertical="center"/>
    </xf>
    <xf numFmtId="164" fontId="0" fillId="8" borderId="71" xfId="0" applyNumberFormat="1" applyFill="1" applyBorder="1" applyAlignment="1">
      <alignment horizontal="center" vertical="center"/>
    </xf>
    <xf numFmtId="0" fontId="21" fillId="17" borderId="35" xfId="0" applyFont="1" applyFill="1" applyBorder="1" applyAlignment="1">
      <alignment horizontal="right"/>
    </xf>
    <xf numFmtId="0" fontId="21" fillId="17" borderId="35" xfId="0" applyFont="1" applyFill="1" applyBorder="1"/>
    <xf numFmtId="164" fontId="21" fillId="17" borderId="35" xfId="0" applyNumberFormat="1" applyFont="1" applyFill="1" applyBorder="1"/>
    <xf numFmtId="0" fontId="0" fillId="0" borderId="64" xfId="0" applyBorder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164" fontId="0" fillId="0" borderId="64" xfId="0" applyNumberFormat="1" applyBorder="1" applyAlignment="1">
      <alignment horizontal="center" vertical="center"/>
    </xf>
    <xf numFmtId="0" fontId="0" fillId="3" borderId="92" xfId="0" applyFill="1" applyBorder="1"/>
    <xf numFmtId="0" fontId="0" fillId="0" borderId="92" xfId="0" applyBorder="1"/>
    <xf numFmtId="164" fontId="0" fillId="0" borderId="71" xfId="0" applyNumberFormat="1" applyBorder="1" applyAlignment="1">
      <alignment horizontal="center" vertical="center"/>
    </xf>
    <xf numFmtId="0" fontId="0" fillId="0" borderId="35" xfId="0" applyBorder="1"/>
    <xf numFmtId="0" fontId="21" fillId="0" borderId="93" xfId="2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0" fillId="8" borderId="64" xfId="0" applyFill="1" applyBorder="1" applyAlignment="1">
      <alignment horizontal="center" vertical="center"/>
    </xf>
    <xf numFmtId="164" fontId="0" fillId="0" borderId="92" xfId="0" applyNumberFormat="1" applyBorder="1"/>
    <xf numFmtId="0" fontId="0" fillId="4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25" fillId="0" borderId="65" xfId="2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8" borderId="71" xfId="0" applyFont="1" applyFill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164" fontId="26" fillId="0" borderId="71" xfId="0" applyNumberFormat="1" applyFont="1" applyBorder="1" applyAlignment="1">
      <alignment horizontal="center" vertical="center"/>
    </xf>
    <xf numFmtId="0" fontId="27" fillId="7" borderId="71" xfId="0" applyFont="1" applyFill="1" applyBorder="1" applyAlignment="1">
      <alignment horizontal="center" vertical="center"/>
    </xf>
    <xf numFmtId="164" fontId="26" fillId="8" borderId="71" xfId="0" applyNumberFormat="1" applyFont="1" applyFill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164" fontId="20" fillId="0" borderId="71" xfId="0" applyNumberFormat="1" applyFont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24" fillId="16" borderId="92" xfId="1" applyFont="1" applyFill="1" applyBorder="1" applyAlignment="1">
      <alignment horizontal="center" vertical="center"/>
    </xf>
    <xf numFmtId="165" fontId="24" fillId="16" borderId="92" xfId="0" applyNumberFormat="1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9" borderId="38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0" fillId="9" borderId="95" xfId="0" applyFill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0" fillId="18" borderId="0" xfId="0" applyFill="1"/>
    <xf numFmtId="0" fontId="22" fillId="16" borderId="5" xfId="0" applyFont="1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/>
    </xf>
    <xf numFmtId="0" fontId="23" fillId="19" borderId="5" xfId="0" applyFont="1" applyFill="1" applyBorder="1" applyAlignment="1">
      <alignment horizontal="center" vertical="center"/>
    </xf>
    <xf numFmtId="0" fontId="24" fillId="12" borderId="5" xfId="1" applyFont="1" applyFill="1" applyBorder="1" applyAlignment="1">
      <alignment horizontal="center" vertical="center" wrapText="1"/>
    </xf>
    <xf numFmtId="0" fontId="24" fillId="12" borderId="53" xfId="1" applyFont="1" applyFill="1" applyBorder="1" applyAlignment="1">
      <alignment horizontal="center" vertical="center"/>
    </xf>
    <xf numFmtId="0" fontId="24" fillId="12" borderId="54" xfId="1" applyFont="1" applyFill="1" applyBorder="1" applyAlignment="1">
      <alignment horizontal="center" vertical="center"/>
    </xf>
    <xf numFmtId="0" fontId="0" fillId="16" borderId="35" xfId="0" applyFill="1" applyBorder="1" applyAlignment="1">
      <alignment horizontal="center" vertical="center"/>
    </xf>
    <xf numFmtId="0" fontId="22" fillId="16" borderId="2" xfId="0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/>
    </xf>
    <xf numFmtId="0" fontId="4" fillId="12" borderId="35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/>
    </xf>
    <xf numFmtId="0" fontId="24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/>
    </xf>
    <xf numFmtId="0" fontId="0" fillId="16" borderId="47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2" fillId="0" borderId="50" xfId="1" applyFont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20" borderId="50" xfId="0" applyFont="1" applyFill="1" applyBorder="1" applyAlignment="1">
      <alignment horizontal="center" vertical="center"/>
    </xf>
    <xf numFmtId="0" fontId="27" fillId="20" borderId="54" xfId="0" applyFont="1" applyFill="1" applyBorder="1" applyAlignment="1">
      <alignment horizontal="center" vertical="center"/>
    </xf>
    <xf numFmtId="0" fontId="4" fillId="20" borderId="5" xfId="0" applyFont="1" applyFill="1" applyBorder="1" applyAlignment="1">
      <alignment horizontal="center" vertical="center"/>
    </xf>
    <xf numFmtId="0" fontId="28" fillId="20" borderId="5" xfId="0" applyFont="1" applyFill="1" applyBorder="1" applyAlignment="1">
      <alignment horizontal="center" vertical="center"/>
    </xf>
    <xf numFmtId="0" fontId="0" fillId="16" borderId="48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4" fillId="18" borderId="5" xfId="0" applyFont="1" applyFill="1" applyBorder="1" applyAlignment="1">
      <alignment horizontal="center" vertical="center" wrapText="1"/>
    </xf>
    <xf numFmtId="0" fontId="1" fillId="18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 indent="2"/>
    </xf>
    <xf numFmtId="0" fontId="6" fillId="0" borderId="14" xfId="0" applyFont="1" applyBorder="1" applyAlignment="1">
      <alignment horizontal="left" vertical="center" wrapText="1" indent="2"/>
    </xf>
    <xf numFmtId="0" fontId="6" fillId="0" borderId="29" xfId="0" applyFont="1" applyBorder="1" applyAlignment="1">
      <alignment horizontal="left" vertical="center" wrapText="1" indent="2"/>
    </xf>
    <xf numFmtId="0" fontId="7" fillId="9" borderId="30" xfId="0" applyFont="1" applyFill="1" applyBorder="1" applyAlignment="1">
      <alignment horizontal="center" vertical="center" wrapText="1"/>
    </xf>
    <xf numFmtId="0" fontId="7" fillId="9" borderId="31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 indent="3"/>
    </xf>
    <xf numFmtId="0" fontId="6" fillId="0" borderId="14" xfId="0" applyFont="1" applyBorder="1" applyAlignment="1">
      <alignment horizontal="left" vertical="center" wrapText="1" indent="3"/>
    </xf>
    <xf numFmtId="0" fontId="6" fillId="0" borderId="15" xfId="0" applyFont="1" applyBorder="1" applyAlignment="1">
      <alignment horizontal="left" vertical="center" wrapText="1" indent="3"/>
    </xf>
    <xf numFmtId="0" fontId="6" fillId="0" borderId="15" xfId="0" applyFont="1" applyBorder="1" applyAlignment="1">
      <alignment horizontal="left" vertical="center" wrapText="1" indent="2"/>
    </xf>
    <xf numFmtId="0" fontId="6" fillId="0" borderId="26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vertical="center" wrapText="1"/>
    </xf>
    <xf numFmtId="0" fontId="7" fillId="7" borderId="15" xfId="0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24" fillId="7" borderId="47" xfId="1" applyFont="1" applyFill="1" applyBorder="1" applyAlignment="1">
      <alignment horizontal="center" vertical="center" wrapText="1"/>
    </xf>
    <xf numFmtId="0" fontId="24" fillId="7" borderId="35" xfId="1" applyFont="1" applyFill="1" applyBorder="1" applyAlignment="1">
      <alignment horizontal="center" vertical="center" wrapText="1"/>
    </xf>
    <xf numFmtId="0" fontId="24" fillId="15" borderId="2" xfId="1" applyFont="1" applyFill="1" applyBorder="1" applyAlignment="1">
      <alignment horizontal="center" vertical="center"/>
    </xf>
    <xf numFmtId="0" fontId="24" fillId="15" borderId="5" xfId="1" applyFont="1" applyFill="1" applyBorder="1" applyAlignment="1">
      <alignment horizontal="center" vertical="center"/>
    </xf>
    <xf numFmtId="0" fontId="23" fillId="0" borderId="0" xfId="1" applyFont="1" applyAlignment="1">
      <alignment horizontal="center"/>
    </xf>
    <xf numFmtId="0" fontId="21" fillId="6" borderId="35" xfId="1" applyFont="1" applyFill="1" applyBorder="1" applyAlignment="1">
      <alignment horizontal="center" vertical="center"/>
    </xf>
    <xf numFmtId="0" fontId="21" fillId="6" borderId="5" xfId="1" applyFont="1" applyFill="1" applyBorder="1" applyAlignment="1">
      <alignment horizontal="center" vertical="center"/>
    </xf>
    <xf numFmtId="0" fontId="24" fillId="6" borderId="42" xfId="1" applyFont="1" applyFill="1" applyBorder="1" applyAlignment="1">
      <alignment horizontal="center" vertical="center"/>
    </xf>
    <xf numFmtId="0" fontId="24" fillId="6" borderId="40" xfId="1" applyFont="1" applyFill="1" applyBorder="1" applyAlignment="1">
      <alignment horizontal="center" vertical="center"/>
    </xf>
    <xf numFmtId="0" fontId="24" fillId="6" borderId="43" xfId="1" applyFont="1" applyFill="1" applyBorder="1" applyAlignment="1">
      <alignment horizontal="center" vertical="center" wrapText="1"/>
    </xf>
    <xf numFmtId="0" fontId="24" fillId="6" borderId="49" xfId="1" applyFont="1" applyFill="1" applyBorder="1" applyAlignment="1">
      <alignment horizontal="center" vertical="center" wrapText="1"/>
    </xf>
    <xf numFmtId="0" fontId="24" fillId="6" borderId="52" xfId="1" applyFont="1" applyFill="1" applyBorder="1" applyAlignment="1">
      <alignment horizontal="center" vertical="center" wrapText="1"/>
    </xf>
    <xf numFmtId="0" fontId="24" fillId="6" borderId="44" xfId="1" applyFont="1" applyFill="1" applyBorder="1" applyAlignment="1">
      <alignment horizontal="center" vertical="center" wrapText="1"/>
    </xf>
    <xf numFmtId="0" fontId="24" fillId="6" borderId="45" xfId="1" applyFont="1" applyFill="1" applyBorder="1" applyAlignment="1">
      <alignment horizontal="center" vertical="center" wrapText="1"/>
    </xf>
    <xf numFmtId="0" fontId="24" fillId="6" borderId="46" xfId="1" applyFont="1" applyFill="1" applyBorder="1" applyAlignment="1">
      <alignment horizontal="center" vertical="center" wrapText="1"/>
    </xf>
    <xf numFmtId="0" fontId="24" fillId="13" borderId="47" xfId="1" applyFont="1" applyFill="1" applyBorder="1" applyAlignment="1">
      <alignment horizontal="center" vertical="center"/>
    </xf>
    <xf numFmtId="0" fontId="24" fillId="13" borderId="35" xfId="1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 wrapText="1"/>
    </xf>
    <xf numFmtId="0" fontId="21" fillId="16" borderId="8" xfId="2" applyFont="1" applyFill="1" applyBorder="1" applyAlignment="1">
      <alignment horizontal="center" vertical="top"/>
    </xf>
    <xf numFmtId="0" fontId="21" fillId="16" borderId="50" xfId="2" applyFont="1" applyFill="1" applyBorder="1" applyAlignment="1">
      <alignment horizontal="center" vertical="top"/>
    </xf>
    <xf numFmtId="0" fontId="21" fillId="16" borderId="35" xfId="2" applyFont="1" applyFill="1" applyBorder="1" applyAlignment="1">
      <alignment horizontal="center" vertical="top"/>
    </xf>
    <xf numFmtId="0" fontId="25" fillId="16" borderId="8" xfId="2" applyFont="1" applyFill="1" applyBorder="1" applyAlignment="1">
      <alignment horizontal="center" vertical="top"/>
    </xf>
    <xf numFmtId="0" fontId="25" fillId="16" borderId="50" xfId="2" applyFont="1" applyFill="1" applyBorder="1" applyAlignment="1">
      <alignment horizontal="center" vertical="top"/>
    </xf>
    <xf numFmtId="0" fontId="25" fillId="16" borderId="35" xfId="2" applyFont="1" applyFill="1" applyBorder="1" applyAlignment="1">
      <alignment horizontal="center" vertical="top"/>
    </xf>
    <xf numFmtId="0" fontId="24" fillId="14" borderId="2" xfId="1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/>
    </xf>
    <xf numFmtId="0" fontId="24" fillId="15" borderId="2" xfId="1" applyFont="1" applyFill="1" applyBorder="1" applyAlignment="1">
      <alignment horizontal="center" vertical="center" wrapText="1"/>
    </xf>
    <xf numFmtId="0" fontId="24" fillId="15" borderId="5" xfId="1" applyFont="1" applyFill="1" applyBorder="1" applyAlignment="1">
      <alignment horizontal="center" vertical="center" wrapText="1"/>
    </xf>
    <xf numFmtId="0" fontId="24" fillId="15" borderId="47" xfId="0" applyFont="1" applyFill="1" applyBorder="1" applyAlignment="1">
      <alignment horizontal="center" vertical="center" wrapText="1"/>
    </xf>
    <xf numFmtId="0" fontId="24" fillId="15" borderId="35" xfId="0" applyFont="1" applyFill="1" applyBorder="1" applyAlignment="1">
      <alignment horizontal="center" vertical="center" wrapText="1"/>
    </xf>
    <xf numFmtId="0" fontId="24" fillId="15" borderId="50" xfId="0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11" borderId="5" xfId="0" applyFont="1" applyFill="1" applyBorder="1" applyAlignment="1">
      <alignment horizontal="center" vertical="center" wrapText="1"/>
    </xf>
    <xf numFmtId="0" fontId="24" fillId="7" borderId="48" xfId="1" applyFont="1" applyFill="1" applyBorder="1" applyAlignment="1">
      <alignment horizontal="center" vertical="center" wrapText="1"/>
    </xf>
    <xf numFmtId="0" fontId="24" fillId="7" borderId="51" xfId="1" applyFont="1" applyFill="1" applyBorder="1" applyAlignment="1">
      <alignment horizontal="center" vertical="center" wrapText="1"/>
    </xf>
    <xf numFmtId="164" fontId="24" fillId="9" borderId="3" xfId="0" applyNumberFormat="1" applyFont="1" applyFill="1" applyBorder="1" applyAlignment="1">
      <alignment horizontal="center" vertical="center" wrapText="1"/>
    </xf>
    <xf numFmtId="164" fontId="24" fillId="9" borderId="6" xfId="0" applyNumberFormat="1" applyFont="1" applyFill="1" applyBorder="1" applyAlignment="1">
      <alignment horizontal="center" vertical="center" wrapText="1"/>
    </xf>
    <xf numFmtId="164" fontId="24" fillId="9" borderId="5" xfId="0" applyNumberFormat="1" applyFont="1" applyFill="1" applyBorder="1" applyAlignment="1">
      <alignment horizontal="center" vertical="center"/>
    </xf>
    <xf numFmtId="0" fontId="21" fillId="0" borderId="8" xfId="2" applyFont="1" applyBorder="1" applyAlignment="1">
      <alignment horizontal="center" vertical="top"/>
    </xf>
    <xf numFmtId="0" fontId="21" fillId="0" borderId="50" xfId="2" applyFont="1" applyBorder="1" applyAlignment="1">
      <alignment horizontal="center" vertical="top"/>
    </xf>
    <xf numFmtId="0" fontId="21" fillId="0" borderId="35" xfId="2" applyFont="1" applyBorder="1" applyAlignment="1">
      <alignment horizontal="center" vertical="top"/>
    </xf>
    <xf numFmtId="0" fontId="25" fillId="0" borderId="8" xfId="2" applyFont="1" applyBorder="1" applyAlignment="1">
      <alignment horizontal="center" vertical="top"/>
    </xf>
    <xf numFmtId="0" fontId="25" fillId="0" borderId="50" xfId="2" applyFont="1" applyBorder="1" applyAlignment="1">
      <alignment horizontal="center" vertical="top"/>
    </xf>
    <xf numFmtId="0" fontId="25" fillId="0" borderId="35" xfId="2" applyFont="1" applyBorder="1" applyAlignment="1">
      <alignment horizontal="center" vertical="top"/>
    </xf>
    <xf numFmtId="0" fontId="21" fillId="0" borderId="53" xfId="2" applyFont="1" applyBorder="1" applyAlignment="1">
      <alignment horizontal="center" vertical="top"/>
    </xf>
    <xf numFmtId="0" fontId="25" fillId="0" borderId="53" xfId="2" applyFont="1" applyBorder="1" applyAlignment="1">
      <alignment horizontal="center" vertical="top"/>
    </xf>
    <xf numFmtId="0" fontId="24" fillId="9" borderId="11" xfId="1" applyFont="1" applyFill="1" applyBorder="1" applyAlignment="1">
      <alignment horizontal="center" vertical="center"/>
    </xf>
    <xf numFmtId="0" fontId="24" fillId="9" borderId="70" xfId="1" applyFont="1" applyFill="1" applyBorder="1" applyAlignment="1">
      <alignment horizontal="center" vertical="center"/>
    </xf>
    <xf numFmtId="0" fontId="24" fillId="9" borderId="12" xfId="1" applyFont="1" applyFill="1" applyBorder="1" applyAlignment="1">
      <alignment horizontal="center" vertical="center"/>
    </xf>
    <xf numFmtId="0" fontId="24" fillId="6" borderId="74" xfId="1" applyFont="1" applyFill="1" applyBorder="1" applyAlignment="1">
      <alignment horizontal="center" vertical="center" wrapText="1"/>
    </xf>
    <xf numFmtId="0" fontId="21" fillId="9" borderId="88" xfId="2" applyFont="1" applyFill="1" applyBorder="1" applyAlignment="1">
      <alignment horizontal="center" vertical="top"/>
    </xf>
    <xf numFmtId="0" fontId="21" fillId="9" borderId="39" xfId="2" applyFont="1" applyFill="1" applyBorder="1" applyAlignment="1">
      <alignment horizontal="center" vertical="top"/>
    </xf>
    <xf numFmtId="0" fontId="21" fillId="9" borderId="40" xfId="2" applyFont="1" applyFill="1" applyBorder="1" applyAlignment="1">
      <alignment horizontal="center" vertical="top"/>
    </xf>
    <xf numFmtId="0" fontId="21" fillId="0" borderId="77" xfId="2" applyFont="1" applyBorder="1" applyAlignment="1">
      <alignment horizontal="center" vertical="top"/>
    </xf>
    <xf numFmtId="0" fontId="25" fillId="0" borderId="5" xfId="2" applyFont="1" applyBorder="1" applyAlignment="1">
      <alignment horizontal="center" vertical="top"/>
    </xf>
    <xf numFmtId="0" fontId="21" fillId="6" borderId="72" xfId="1" applyFont="1" applyFill="1" applyBorder="1" applyAlignment="1">
      <alignment horizontal="center" vertical="center"/>
    </xf>
    <xf numFmtId="0" fontId="21" fillId="6" borderId="77" xfId="1" applyFont="1" applyFill="1" applyBorder="1" applyAlignment="1">
      <alignment horizontal="center" vertical="center"/>
    </xf>
    <xf numFmtId="0" fontId="21" fillId="6" borderId="81" xfId="1" applyFont="1" applyFill="1" applyBorder="1" applyAlignment="1">
      <alignment horizontal="center" vertical="center"/>
    </xf>
    <xf numFmtId="0" fontId="24" fillId="6" borderId="73" xfId="1" applyFont="1" applyFill="1" applyBorder="1" applyAlignment="1">
      <alignment horizontal="center" vertical="center"/>
    </xf>
    <xf numFmtId="0" fontId="24" fillId="6" borderId="37" xfId="1" applyFont="1" applyFill="1" applyBorder="1" applyAlignment="1">
      <alignment horizontal="center" vertical="center"/>
    </xf>
    <xf numFmtId="0" fontId="21" fillId="16" borderId="72" xfId="2" applyFont="1" applyFill="1" applyBorder="1" applyAlignment="1">
      <alignment horizontal="center" vertical="top"/>
    </xf>
    <xf numFmtId="0" fontId="21" fillId="16" borderId="77" xfId="2" applyFont="1" applyFill="1" applyBorder="1" applyAlignment="1">
      <alignment horizontal="center" vertical="top"/>
    </xf>
    <xf numFmtId="0" fontId="25" fillId="16" borderId="75" xfId="2" applyFont="1" applyFill="1" applyBorder="1" applyAlignment="1">
      <alignment horizontal="center" vertical="top"/>
    </xf>
    <xf numFmtId="0" fontId="25" fillId="16" borderId="5" xfId="2" applyFont="1" applyFill="1" applyBorder="1" applyAlignment="1">
      <alignment horizontal="center" vertical="top"/>
    </xf>
    <xf numFmtId="0" fontId="21" fillId="9" borderId="89" xfId="2" applyFont="1" applyFill="1" applyBorder="1" applyAlignment="1">
      <alignment horizontal="center" vertical="top"/>
    </xf>
    <xf numFmtId="0" fontId="21" fillId="9" borderId="90" xfId="2" applyFont="1" applyFill="1" applyBorder="1" applyAlignment="1">
      <alignment horizontal="center" vertical="top"/>
    </xf>
    <xf numFmtId="0" fontId="21" fillId="9" borderId="91" xfId="2" applyFont="1" applyFill="1" applyBorder="1" applyAlignment="1">
      <alignment horizontal="center" vertical="top"/>
    </xf>
    <xf numFmtId="0" fontId="24" fillId="6" borderId="75" xfId="1" applyFont="1" applyFill="1" applyBorder="1" applyAlignment="1">
      <alignment horizontal="center" vertical="center"/>
    </xf>
    <xf numFmtId="0" fontId="24" fillId="6" borderId="76" xfId="1" applyFont="1" applyFill="1" applyBorder="1" applyAlignment="1">
      <alignment horizontal="center" vertical="center"/>
    </xf>
    <xf numFmtId="0" fontId="0" fillId="3" borderId="86" xfId="0" applyFill="1" applyBorder="1" applyAlignment="1">
      <alignment horizontal="center"/>
    </xf>
    <xf numFmtId="0" fontId="0" fillId="3" borderId="87" xfId="0" applyFill="1" applyBorder="1" applyAlignment="1">
      <alignment horizontal="center"/>
    </xf>
    <xf numFmtId="0" fontId="0" fillId="3" borderId="80" xfId="0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5" xfId="2" applyFont="1" applyBorder="1" applyAlignment="1">
      <alignment horizontal="center" vertical="top"/>
    </xf>
    <xf numFmtId="0" fontId="4" fillId="12" borderId="38" xfId="0" applyFon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4" fillId="12" borderId="40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top"/>
    </xf>
    <xf numFmtId="0" fontId="4" fillId="12" borderId="35" xfId="0" applyFont="1" applyFill="1" applyBorder="1" applyAlignment="1">
      <alignment horizontal="center" vertical="top"/>
    </xf>
    <xf numFmtId="0" fontId="0" fillId="0" borderId="51" xfId="0" applyBorder="1" applyAlignment="1">
      <alignment horizontal="center" wrapText="1"/>
    </xf>
    <xf numFmtId="0" fontId="24" fillId="12" borderId="47" xfId="1" applyFont="1" applyFill="1" applyBorder="1" applyAlignment="1">
      <alignment horizontal="center" vertical="center"/>
    </xf>
    <xf numFmtId="0" fontId="24" fillId="12" borderId="35" xfId="1" applyFont="1" applyFill="1" applyBorder="1" applyAlignment="1">
      <alignment horizontal="center" vertical="center"/>
    </xf>
    <xf numFmtId="0" fontId="24" fillId="12" borderId="2" xfId="1" applyFont="1" applyFill="1" applyBorder="1" applyAlignment="1">
      <alignment horizontal="center" vertical="center"/>
    </xf>
    <xf numFmtId="0" fontId="21" fillId="12" borderId="72" xfId="1" applyFont="1" applyFill="1" applyBorder="1" applyAlignment="1">
      <alignment horizontal="center" vertical="center"/>
    </xf>
    <xf numFmtId="0" fontId="21" fillId="12" borderId="77" xfId="1" applyFont="1" applyFill="1" applyBorder="1" applyAlignment="1">
      <alignment horizontal="center" vertical="center"/>
    </xf>
    <xf numFmtId="0" fontId="21" fillId="12" borderId="81" xfId="1" applyFont="1" applyFill="1" applyBorder="1" applyAlignment="1">
      <alignment horizontal="center" vertical="center"/>
    </xf>
    <xf numFmtId="0" fontId="24" fillId="12" borderId="73" xfId="1" applyFont="1" applyFill="1" applyBorder="1" applyAlignment="1">
      <alignment horizontal="center" vertical="center"/>
    </xf>
    <xf numFmtId="0" fontId="24" fillId="12" borderId="40" xfId="1" applyFont="1" applyFill="1" applyBorder="1" applyAlignment="1">
      <alignment horizontal="center" vertical="center"/>
    </xf>
    <xf numFmtId="0" fontId="24" fillId="12" borderId="37" xfId="1" applyFont="1" applyFill="1" applyBorder="1" applyAlignment="1">
      <alignment horizontal="center" vertical="center"/>
    </xf>
    <xf numFmtId="0" fontId="24" fillId="12" borderId="74" xfId="1" applyFont="1" applyFill="1" applyBorder="1" applyAlignment="1">
      <alignment horizontal="center" vertical="center" wrapText="1"/>
    </xf>
    <xf numFmtId="0" fontId="24" fillId="12" borderId="49" xfId="1" applyFont="1" applyFill="1" applyBorder="1" applyAlignment="1">
      <alignment horizontal="center" vertical="center" wrapText="1"/>
    </xf>
    <xf numFmtId="0" fontId="27" fillId="20" borderId="5" xfId="0" applyFont="1" applyFill="1" applyBorder="1" applyAlignment="1">
      <alignment horizontal="center" vertical="center"/>
    </xf>
    <xf numFmtId="0" fontId="23" fillId="19" borderId="96" xfId="0" applyFont="1" applyFill="1" applyBorder="1" applyAlignment="1">
      <alignment horizontal="center"/>
    </xf>
    <xf numFmtId="0" fontId="23" fillId="19" borderId="42" xfId="0" applyFont="1" applyFill="1" applyBorder="1" applyAlignment="1">
      <alignment horizontal="center"/>
    </xf>
    <xf numFmtId="0" fontId="4" fillId="20" borderId="5" xfId="0" applyFont="1" applyFill="1" applyBorder="1" applyAlignment="1">
      <alignment horizontal="center" vertical="center"/>
    </xf>
    <xf numFmtId="0" fontId="4" fillId="20" borderId="5" xfId="0" applyFont="1" applyFill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horizontal="center" vertical="center"/>
    </xf>
  </cellXfs>
  <cellStyles count="3">
    <cellStyle name="Normal" xfId="0" builtinId="0"/>
    <cellStyle name="Normal 3" xfId="1" xr:uid="{FECFE717-7F8D-4274-AD71-F173B878B165}"/>
    <cellStyle name="Normal 3 4" xfId="2" xr:uid="{71F57505-55F4-4CDF-8FDA-8C3E6900A063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workbookViewId="0">
      <pane ySplit="5" topLeftCell="A18" activePane="bottomLeft" state="frozen"/>
      <selection pane="bottomLeft" activeCell="A2" sqref="A2:O2"/>
    </sheetView>
  </sheetViews>
  <sheetFormatPr defaultRowHeight="15" x14ac:dyDescent="0.25"/>
  <cols>
    <col min="1" max="1" width="4.5703125" customWidth="1"/>
    <col min="2" max="2" width="19.42578125" customWidth="1"/>
    <col min="3" max="14" width="11.85546875" customWidth="1"/>
    <col min="15" max="15" width="11.7109375" customWidth="1"/>
  </cols>
  <sheetData>
    <row r="1" spans="1:15" ht="21" x14ac:dyDescent="0.25">
      <c r="A1" s="285" t="s">
        <v>76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</row>
    <row r="2" spans="1:15" ht="21" x14ac:dyDescent="0.25">
      <c r="A2" s="285" t="s">
        <v>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1:15" ht="15.75" thickBot="1" x14ac:dyDescent="0.3"/>
    <row r="4" spans="1:15" ht="20.25" customHeight="1" thickTop="1" x14ac:dyDescent="0.25">
      <c r="A4" s="288" t="s">
        <v>1</v>
      </c>
      <c r="B4" s="286" t="s">
        <v>2</v>
      </c>
      <c r="C4" s="286" t="s">
        <v>3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90" t="s">
        <v>15</v>
      </c>
    </row>
    <row r="5" spans="1:15" ht="32.25" customHeight="1" x14ac:dyDescent="0.25">
      <c r="A5" s="289"/>
      <c r="B5" s="287"/>
      <c r="C5" s="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1" t="s">
        <v>9</v>
      </c>
      <c r="I5" s="1" t="s">
        <v>10</v>
      </c>
      <c r="J5" s="2" t="s">
        <v>11</v>
      </c>
      <c r="K5" s="2" t="s">
        <v>12</v>
      </c>
      <c r="L5" s="2" t="s">
        <v>13</v>
      </c>
      <c r="M5" s="2" t="s">
        <v>40</v>
      </c>
      <c r="N5" s="2" t="s">
        <v>14</v>
      </c>
      <c r="O5" s="291"/>
    </row>
    <row r="6" spans="1:15" ht="12" customHeight="1" x14ac:dyDescent="0.25">
      <c r="A6" s="3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5">
        <v>15</v>
      </c>
    </row>
    <row r="7" spans="1:15" ht="22.5" customHeight="1" x14ac:dyDescent="0.25">
      <c r="A7" s="8">
        <v>1</v>
      </c>
      <c r="B7" s="7" t="s">
        <v>16</v>
      </c>
      <c r="C7" s="6">
        <v>2</v>
      </c>
      <c r="D7" s="6"/>
      <c r="E7" s="6">
        <v>1</v>
      </c>
      <c r="F7" s="6">
        <v>21</v>
      </c>
      <c r="G7" s="6">
        <v>1</v>
      </c>
      <c r="H7" s="6">
        <v>12</v>
      </c>
      <c r="I7" s="6">
        <v>1</v>
      </c>
      <c r="J7" s="6"/>
      <c r="K7" s="6"/>
      <c r="L7" s="6"/>
      <c r="M7" s="6">
        <v>10</v>
      </c>
      <c r="N7" s="6">
        <v>2</v>
      </c>
      <c r="O7" s="16">
        <f>SUM(C7:N7)</f>
        <v>50</v>
      </c>
    </row>
    <row r="8" spans="1:15" ht="22.5" customHeight="1" x14ac:dyDescent="0.25">
      <c r="A8" s="10">
        <v>2</v>
      </c>
      <c r="B8" s="11" t="s">
        <v>18</v>
      </c>
      <c r="C8" s="12">
        <v>14</v>
      </c>
      <c r="D8" s="12"/>
      <c r="E8" s="12">
        <v>9</v>
      </c>
      <c r="F8" s="12">
        <f>1+1+1+1</f>
        <v>4</v>
      </c>
      <c r="G8" s="12"/>
      <c r="H8" s="12"/>
      <c r="I8" s="12"/>
      <c r="J8" s="12"/>
      <c r="K8" s="12"/>
      <c r="L8" s="12">
        <v>1</v>
      </c>
      <c r="M8" s="12">
        <v>12</v>
      </c>
      <c r="N8" s="12"/>
      <c r="O8" s="9">
        <f t="shared" ref="O8:O30" si="0">SUM(C8:N8)</f>
        <v>40</v>
      </c>
    </row>
    <row r="9" spans="1:15" ht="22.5" customHeight="1" x14ac:dyDescent="0.25">
      <c r="A9" s="8">
        <v>3</v>
      </c>
      <c r="B9" s="7" t="s">
        <v>19</v>
      </c>
      <c r="C9" s="6">
        <v>3</v>
      </c>
      <c r="D9" s="6"/>
      <c r="E9" s="6">
        <v>3</v>
      </c>
      <c r="F9" s="6">
        <v>4</v>
      </c>
      <c r="G9" s="6">
        <v>1</v>
      </c>
      <c r="H9" s="6">
        <v>1</v>
      </c>
      <c r="I9" s="6"/>
      <c r="J9" s="6"/>
      <c r="K9" s="6"/>
      <c r="L9" s="6">
        <v>27</v>
      </c>
      <c r="M9" s="6">
        <v>2</v>
      </c>
      <c r="N9" s="6"/>
      <c r="O9" s="16">
        <f>SUM(C9:N9)</f>
        <v>41</v>
      </c>
    </row>
    <row r="10" spans="1:15" ht="22.5" customHeight="1" x14ac:dyDescent="0.25">
      <c r="A10" s="10">
        <v>4</v>
      </c>
      <c r="B10" s="11" t="s">
        <v>17</v>
      </c>
      <c r="C10" s="12"/>
      <c r="D10" s="12"/>
      <c r="E10" s="12">
        <f>1</f>
        <v>1</v>
      </c>
      <c r="F10" s="12">
        <v>3</v>
      </c>
      <c r="G10" s="12"/>
      <c r="H10" s="12">
        <v>17</v>
      </c>
      <c r="I10" s="12"/>
      <c r="J10" s="12"/>
      <c r="K10" s="12"/>
      <c r="L10" s="12"/>
      <c r="M10" s="12">
        <v>8</v>
      </c>
      <c r="N10" s="12"/>
      <c r="O10" s="9">
        <f t="shared" si="0"/>
        <v>29</v>
      </c>
    </row>
    <row r="11" spans="1:15" ht="22.5" customHeight="1" x14ac:dyDescent="0.25">
      <c r="A11" s="8">
        <v>5</v>
      </c>
      <c r="B11" s="7" t="s">
        <v>20</v>
      </c>
      <c r="C11" s="6"/>
      <c r="D11" s="6"/>
      <c r="E11" s="6"/>
      <c r="F11" s="6">
        <v>4</v>
      </c>
      <c r="G11" s="6">
        <v>4</v>
      </c>
      <c r="H11" s="6">
        <v>29</v>
      </c>
      <c r="I11" s="6"/>
      <c r="J11" s="6"/>
      <c r="K11" s="6"/>
      <c r="L11" s="6">
        <v>7</v>
      </c>
      <c r="M11" s="6">
        <v>1</v>
      </c>
      <c r="N11" s="6"/>
      <c r="O11" s="16">
        <f t="shared" si="0"/>
        <v>45</v>
      </c>
    </row>
    <row r="12" spans="1:15" ht="22.5" customHeight="1" x14ac:dyDescent="0.25">
      <c r="A12" s="10">
        <v>6</v>
      </c>
      <c r="B12" s="11" t="s">
        <v>21</v>
      </c>
      <c r="C12" s="12"/>
      <c r="D12" s="12"/>
      <c r="E12" s="12"/>
      <c r="F12" s="12">
        <v>22</v>
      </c>
      <c r="G12" s="12">
        <v>14</v>
      </c>
      <c r="H12" s="12">
        <v>12</v>
      </c>
      <c r="I12" s="12">
        <v>3</v>
      </c>
      <c r="J12" s="12"/>
      <c r="K12" s="12"/>
      <c r="L12" s="12">
        <v>34</v>
      </c>
      <c r="M12" s="12"/>
      <c r="N12" s="12"/>
      <c r="O12" s="9">
        <f t="shared" si="0"/>
        <v>85</v>
      </c>
    </row>
    <row r="13" spans="1:15" ht="22.5" customHeight="1" x14ac:dyDescent="0.25">
      <c r="A13" s="8">
        <v>7</v>
      </c>
      <c r="B13" s="7" t="s">
        <v>22</v>
      </c>
      <c r="C13" s="6">
        <v>1</v>
      </c>
      <c r="D13" s="6"/>
      <c r="E13" s="6">
        <v>3</v>
      </c>
      <c r="F13" s="6"/>
      <c r="G13" s="6">
        <v>3</v>
      </c>
      <c r="H13" s="6">
        <v>4</v>
      </c>
      <c r="I13" s="6"/>
      <c r="J13" s="6"/>
      <c r="K13" s="6"/>
      <c r="L13" s="6"/>
      <c r="M13" s="6">
        <v>2</v>
      </c>
      <c r="N13" s="6"/>
      <c r="O13" s="16">
        <f t="shared" si="0"/>
        <v>13</v>
      </c>
    </row>
    <row r="14" spans="1:15" ht="22.5" customHeight="1" x14ac:dyDescent="0.25">
      <c r="A14" s="10">
        <v>8</v>
      </c>
      <c r="B14" s="11" t="s">
        <v>23</v>
      </c>
      <c r="C14" s="12">
        <v>2</v>
      </c>
      <c r="D14" s="12"/>
      <c r="E14" s="12"/>
      <c r="F14" s="12">
        <v>1</v>
      </c>
      <c r="G14" s="12"/>
      <c r="H14" s="12">
        <v>24</v>
      </c>
      <c r="I14" s="12"/>
      <c r="J14" s="12"/>
      <c r="K14" s="12"/>
      <c r="L14" s="12">
        <v>5</v>
      </c>
      <c r="M14" s="12"/>
      <c r="N14" s="12"/>
      <c r="O14" s="9">
        <f t="shared" si="0"/>
        <v>32</v>
      </c>
    </row>
    <row r="15" spans="1:15" ht="22.5" customHeight="1" x14ac:dyDescent="0.25">
      <c r="A15" s="8">
        <v>9</v>
      </c>
      <c r="B15" s="7" t="s">
        <v>24</v>
      </c>
      <c r="C15" s="6">
        <v>4</v>
      </c>
      <c r="D15" s="6"/>
      <c r="E15" s="6"/>
      <c r="F15" s="6">
        <v>14</v>
      </c>
      <c r="G15" s="6">
        <v>1</v>
      </c>
      <c r="H15" s="6">
        <v>10</v>
      </c>
      <c r="I15" s="6"/>
      <c r="J15" s="6"/>
      <c r="K15" s="6"/>
      <c r="L15" s="6">
        <v>3</v>
      </c>
      <c r="M15" s="6"/>
      <c r="N15" s="6"/>
      <c r="O15" s="16">
        <f t="shared" si="0"/>
        <v>32</v>
      </c>
    </row>
    <row r="16" spans="1:15" ht="22.5" customHeight="1" x14ac:dyDescent="0.25">
      <c r="A16" s="10">
        <v>10</v>
      </c>
      <c r="B16" s="11" t="s">
        <v>25</v>
      </c>
      <c r="C16" s="12"/>
      <c r="D16" s="12"/>
      <c r="E16" s="12">
        <v>1</v>
      </c>
      <c r="F16" s="12">
        <v>26</v>
      </c>
      <c r="G16" s="12">
        <v>8</v>
      </c>
      <c r="H16" s="12">
        <v>19</v>
      </c>
      <c r="I16" s="12"/>
      <c r="J16" s="12"/>
      <c r="K16" s="12"/>
      <c r="L16" s="12"/>
      <c r="M16" s="12"/>
      <c r="N16" s="12"/>
      <c r="O16" s="9">
        <f t="shared" si="0"/>
        <v>54</v>
      </c>
    </row>
    <row r="17" spans="1:15" ht="22.5" customHeight="1" x14ac:dyDescent="0.25">
      <c r="A17" s="8">
        <v>11</v>
      </c>
      <c r="B17" s="7" t="s">
        <v>26</v>
      </c>
      <c r="C17" s="6">
        <f>1+1</f>
        <v>2</v>
      </c>
      <c r="D17" s="6"/>
      <c r="E17" s="6">
        <v>2</v>
      </c>
      <c r="F17" s="6">
        <v>14</v>
      </c>
      <c r="G17" s="6"/>
      <c r="H17" s="6">
        <v>13</v>
      </c>
      <c r="I17" s="6"/>
      <c r="J17" s="6"/>
      <c r="K17" s="6"/>
      <c r="L17" s="6">
        <v>2</v>
      </c>
      <c r="M17" s="6">
        <v>2</v>
      </c>
      <c r="N17" s="6"/>
      <c r="O17" s="16">
        <f t="shared" si="0"/>
        <v>35</v>
      </c>
    </row>
    <row r="18" spans="1:15" ht="22.5" customHeight="1" x14ac:dyDescent="0.25">
      <c r="A18" s="10">
        <v>12</v>
      </c>
      <c r="B18" s="11" t="s">
        <v>27</v>
      </c>
      <c r="C18" s="12">
        <v>4</v>
      </c>
      <c r="D18" s="12"/>
      <c r="E18" s="12">
        <v>8</v>
      </c>
      <c r="F18" s="12">
        <v>43</v>
      </c>
      <c r="G18" s="12"/>
      <c r="H18" s="12">
        <v>12</v>
      </c>
      <c r="I18" s="12"/>
      <c r="J18" s="12"/>
      <c r="K18" s="12"/>
      <c r="L18" s="12"/>
      <c r="M18" s="12"/>
      <c r="N18" s="12"/>
      <c r="O18" s="9">
        <f t="shared" si="0"/>
        <v>67</v>
      </c>
    </row>
    <row r="19" spans="1:15" ht="22.5" customHeight="1" x14ac:dyDescent="0.25">
      <c r="A19" s="8">
        <v>13</v>
      </c>
      <c r="B19" s="7" t="s">
        <v>28</v>
      </c>
      <c r="C19" s="6">
        <v>3</v>
      </c>
      <c r="D19" s="6"/>
      <c r="E19" s="6">
        <v>2</v>
      </c>
      <c r="F19" s="6">
        <v>11</v>
      </c>
      <c r="G19" s="6"/>
      <c r="H19" s="6">
        <v>16</v>
      </c>
      <c r="I19" s="6"/>
      <c r="J19" s="6"/>
      <c r="K19" s="6"/>
      <c r="L19" s="6">
        <v>4</v>
      </c>
      <c r="M19" s="6"/>
      <c r="N19" s="6"/>
      <c r="O19" s="16">
        <f t="shared" si="0"/>
        <v>36</v>
      </c>
    </row>
    <row r="20" spans="1:15" ht="22.5" customHeight="1" x14ac:dyDescent="0.25">
      <c r="A20" s="10">
        <v>14</v>
      </c>
      <c r="B20" s="11" t="s">
        <v>29</v>
      </c>
      <c r="C20" s="12">
        <v>3</v>
      </c>
      <c r="D20" s="12"/>
      <c r="E20" s="12">
        <v>1</v>
      </c>
      <c r="F20" s="12">
        <v>15</v>
      </c>
      <c r="G20" s="12"/>
      <c r="H20" s="12">
        <v>28</v>
      </c>
      <c r="I20" s="12"/>
      <c r="J20" s="12"/>
      <c r="K20" s="12"/>
      <c r="L20" s="12">
        <v>1</v>
      </c>
      <c r="M20" s="12">
        <v>3</v>
      </c>
      <c r="N20" s="12"/>
      <c r="O20" s="9">
        <f t="shared" si="0"/>
        <v>51</v>
      </c>
    </row>
    <row r="21" spans="1:15" ht="22.5" customHeight="1" x14ac:dyDescent="0.25">
      <c r="A21" s="8">
        <v>15</v>
      </c>
      <c r="B21" s="7" t="s">
        <v>30</v>
      </c>
      <c r="C21" s="6">
        <v>5</v>
      </c>
      <c r="D21" s="6"/>
      <c r="E21" s="6">
        <v>6</v>
      </c>
      <c r="F21" s="6">
        <v>10</v>
      </c>
      <c r="G21" s="6"/>
      <c r="H21" s="6">
        <v>15</v>
      </c>
      <c r="I21" s="6">
        <v>2</v>
      </c>
      <c r="J21" s="6"/>
      <c r="K21" s="6"/>
      <c r="L21" s="6"/>
      <c r="M21" s="6">
        <v>3</v>
      </c>
      <c r="N21" s="6"/>
      <c r="O21" s="16">
        <f t="shared" si="0"/>
        <v>41</v>
      </c>
    </row>
    <row r="22" spans="1:15" ht="22.5" customHeight="1" x14ac:dyDescent="0.25">
      <c r="A22" s="10">
        <v>16</v>
      </c>
      <c r="B22" s="11" t="s">
        <v>31</v>
      </c>
      <c r="C22" s="12">
        <v>3</v>
      </c>
      <c r="D22" s="12"/>
      <c r="E22" s="12">
        <v>3</v>
      </c>
      <c r="F22" s="12">
        <v>4</v>
      </c>
      <c r="G22" s="12"/>
      <c r="H22" s="12">
        <v>8</v>
      </c>
      <c r="I22" s="12"/>
      <c r="J22" s="12"/>
      <c r="K22" s="12"/>
      <c r="L22" s="12"/>
      <c r="M22" s="12"/>
      <c r="N22" s="12"/>
      <c r="O22" s="9">
        <f t="shared" si="0"/>
        <v>18</v>
      </c>
    </row>
    <row r="23" spans="1:15" ht="22.5" customHeight="1" x14ac:dyDescent="0.25">
      <c r="A23" s="8">
        <v>17</v>
      </c>
      <c r="B23" s="7" t="s">
        <v>32</v>
      </c>
      <c r="C23" s="6">
        <v>2</v>
      </c>
      <c r="D23" s="6"/>
      <c r="E23" s="6">
        <v>11</v>
      </c>
      <c r="F23" s="6">
        <v>25</v>
      </c>
      <c r="G23" s="6">
        <v>1</v>
      </c>
      <c r="H23" s="6">
        <v>62</v>
      </c>
      <c r="I23" s="6">
        <v>1</v>
      </c>
      <c r="J23" s="6"/>
      <c r="K23" s="6"/>
      <c r="L23" s="6"/>
      <c r="M23" s="6">
        <v>23</v>
      </c>
      <c r="N23" s="6"/>
      <c r="O23" s="16">
        <f t="shared" si="0"/>
        <v>125</v>
      </c>
    </row>
    <row r="24" spans="1:15" ht="22.5" customHeight="1" x14ac:dyDescent="0.25">
      <c r="A24" s="10">
        <v>18</v>
      </c>
      <c r="B24" s="11" t="s">
        <v>33</v>
      </c>
      <c r="C24" s="12">
        <v>3</v>
      </c>
      <c r="D24" s="12">
        <v>2</v>
      </c>
      <c r="E24" s="12">
        <v>8</v>
      </c>
      <c r="F24" s="12">
        <v>3</v>
      </c>
      <c r="G24" s="12"/>
      <c r="H24" s="12">
        <v>12</v>
      </c>
      <c r="I24" s="12"/>
      <c r="J24" s="12"/>
      <c r="K24" s="12"/>
      <c r="L24" s="12">
        <v>4</v>
      </c>
      <c r="M24" s="12">
        <v>14</v>
      </c>
      <c r="N24" s="12"/>
      <c r="O24" s="9">
        <f t="shared" si="0"/>
        <v>46</v>
      </c>
    </row>
    <row r="25" spans="1:15" ht="22.5" customHeight="1" x14ac:dyDescent="0.25">
      <c r="A25" s="8">
        <v>19</v>
      </c>
      <c r="B25" s="7" t="s">
        <v>34</v>
      </c>
      <c r="C25" s="6"/>
      <c r="D25" s="6"/>
      <c r="E25" s="6">
        <v>7</v>
      </c>
      <c r="F25" s="6">
        <v>1</v>
      </c>
      <c r="G25" s="6">
        <v>7</v>
      </c>
      <c r="H25" s="6">
        <v>5</v>
      </c>
      <c r="I25" s="6"/>
      <c r="J25" s="6"/>
      <c r="K25" s="6"/>
      <c r="L25" s="6">
        <v>1</v>
      </c>
      <c r="M25" s="6">
        <v>3</v>
      </c>
      <c r="N25" s="6"/>
      <c r="O25" s="16">
        <f t="shared" si="0"/>
        <v>24</v>
      </c>
    </row>
    <row r="26" spans="1:15" ht="22.5" customHeight="1" x14ac:dyDescent="0.25">
      <c r="A26" s="10">
        <v>20</v>
      </c>
      <c r="B26" s="11" t="s">
        <v>35</v>
      </c>
      <c r="C26" s="12"/>
      <c r="D26" s="12"/>
      <c r="E26" s="12">
        <v>13</v>
      </c>
      <c r="F26" s="12">
        <v>3</v>
      </c>
      <c r="G26" s="12">
        <v>1</v>
      </c>
      <c r="H26" s="12">
        <v>8</v>
      </c>
      <c r="I26" s="12"/>
      <c r="J26" s="12"/>
      <c r="K26" s="12"/>
      <c r="L26" s="12"/>
      <c r="M26" s="12"/>
      <c r="N26" s="12"/>
      <c r="O26" s="9">
        <f t="shared" si="0"/>
        <v>25</v>
      </c>
    </row>
    <row r="27" spans="1:15" ht="22.5" customHeight="1" x14ac:dyDescent="0.25">
      <c r="A27" s="8">
        <v>21</v>
      </c>
      <c r="B27" s="7" t="s">
        <v>36</v>
      </c>
      <c r="C27" s="6">
        <v>5</v>
      </c>
      <c r="D27" s="6"/>
      <c r="E27" s="6">
        <v>3</v>
      </c>
      <c r="F27" s="6">
        <v>2</v>
      </c>
      <c r="G27" s="6"/>
      <c r="H27" s="6">
        <v>7</v>
      </c>
      <c r="I27" s="6"/>
      <c r="J27" s="6"/>
      <c r="K27" s="6"/>
      <c r="L27" s="6"/>
      <c r="M27" s="6"/>
      <c r="N27" s="6"/>
      <c r="O27" s="16">
        <f t="shared" si="0"/>
        <v>17</v>
      </c>
    </row>
    <row r="28" spans="1:15" ht="22.5" customHeight="1" x14ac:dyDescent="0.25">
      <c r="A28" s="10">
        <v>22</v>
      </c>
      <c r="B28" s="11" t="s">
        <v>37</v>
      </c>
      <c r="C28" s="12">
        <f>1+1+1</f>
        <v>3</v>
      </c>
      <c r="D28" s="12"/>
      <c r="E28" s="12">
        <v>4</v>
      </c>
      <c r="F28" s="12"/>
      <c r="G28" s="12"/>
      <c r="H28" s="12">
        <v>14</v>
      </c>
      <c r="I28" s="12"/>
      <c r="J28" s="12"/>
      <c r="K28" s="12"/>
      <c r="L28" s="12"/>
      <c r="M28" s="12">
        <v>5</v>
      </c>
      <c r="N28" s="12"/>
      <c r="O28" s="9">
        <f t="shared" si="0"/>
        <v>26</v>
      </c>
    </row>
    <row r="29" spans="1:15" ht="22.5" customHeight="1" x14ac:dyDescent="0.25">
      <c r="A29" s="8">
        <v>23</v>
      </c>
      <c r="B29" s="7" t="s">
        <v>38</v>
      </c>
      <c r="C29" s="6">
        <v>12</v>
      </c>
      <c r="D29" s="6"/>
      <c r="E29" s="6">
        <v>2</v>
      </c>
      <c r="F29" s="6">
        <v>3</v>
      </c>
      <c r="G29" s="6"/>
      <c r="H29" s="6">
        <v>12</v>
      </c>
      <c r="I29" s="6"/>
      <c r="J29" s="6"/>
      <c r="K29" s="6"/>
      <c r="L29" s="6"/>
      <c r="M29" s="6"/>
      <c r="N29" s="6"/>
      <c r="O29" s="16">
        <f t="shared" si="0"/>
        <v>29</v>
      </c>
    </row>
    <row r="30" spans="1:15" ht="22.5" customHeight="1" thickBot="1" x14ac:dyDescent="0.3">
      <c r="A30" s="13">
        <v>24</v>
      </c>
      <c r="B30" s="14" t="s">
        <v>39</v>
      </c>
      <c r="C30" s="15">
        <v>2</v>
      </c>
      <c r="D30" s="15"/>
      <c r="E30" s="15">
        <v>2</v>
      </c>
      <c r="F30" s="15">
        <v>2</v>
      </c>
      <c r="G30" s="15"/>
      <c r="H30" s="15">
        <v>10</v>
      </c>
      <c r="I30" s="15"/>
      <c r="J30" s="15"/>
      <c r="K30" s="15"/>
      <c r="L30" s="15"/>
      <c r="M30" s="15"/>
      <c r="N30" s="15">
        <v>3</v>
      </c>
      <c r="O30" s="9">
        <f t="shared" si="0"/>
        <v>19</v>
      </c>
    </row>
    <row r="31" spans="1:15" ht="23.25" customHeight="1" thickTop="1" thickBot="1" x14ac:dyDescent="0.3">
      <c r="A31" s="283" t="s">
        <v>15</v>
      </c>
      <c r="B31" s="284"/>
      <c r="C31" s="17">
        <f t="shared" ref="C31:M31" si="1">SUM(C7:C30)</f>
        <v>73</v>
      </c>
      <c r="D31" s="17">
        <f t="shared" si="1"/>
        <v>2</v>
      </c>
      <c r="E31" s="17">
        <f t="shared" si="1"/>
        <v>90</v>
      </c>
      <c r="F31" s="17">
        <f t="shared" si="1"/>
        <v>235</v>
      </c>
      <c r="G31" s="17">
        <f t="shared" si="1"/>
        <v>41</v>
      </c>
      <c r="H31" s="17">
        <f t="shared" si="1"/>
        <v>350</v>
      </c>
      <c r="I31" s="17">
        <f t="shared" si="1"/>
        <v>7</v>
      </c>
      <c r="J31" s="17">
        <f t="shared" si="1"/>
        <v>0</v>
      </c>
      <c r="K31" s="17">
        <f t="shared" si="1"/>
        <v>0</v>
      </c>
      <c r="L31" s="17">
        <f>SUM(L7:L30)</f>
        <v>89</v>
      </c>
      <c r="M31" s="17">
        <f t="shared" si="1"/>
        <v>88</v>
      </c>
      <c r="N31" s="17">
        <f>SUM(N7:N30)</f>
        <v>5</v>
      </c>
      <c r="O31" s="18">
        <f>SUM(C31:N31)</f>
        <v>980</v>
      </c>
    </row>
    <row r="32" spans="1:15" ht="15.75" thickTop="1" x14ac:dyDescent="0.25"/>
  </sheetData>
  <mergeCells count="7">
    <mergeCell ref="A31:B31"/>
    <mergeCell ref="A1:O1"/>
    <mergeCell ref="A2:O2"/>
    <mergeCell ref="C4:N4"/>
    <mergeCell ref="B4:B5"/>
    <mergeCell ref="A4:A5"/>
    <mergeCell ref="O4:O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684AC-4D22-4C20-B5D1-8AA5E9AFCF22}">
  <dimension ref="B1:F30"/>
  <sheetViews>
    <sheetView view="pageBreakPreview" topLeftCell="A13" zoomScale="145" zoomScaleNormal="100" zoomScaleSheetLayoutView="145" workbookViewId="0">
      <selection activeCell="D19" sqref="D19"/>
    </sheetView>
  </sheetViews>
  <sheetFormatPr defaultRowHeight="15" x14ac:dyDescent="0.25"/>
  <cols>
    <col min="2" max="2" width="25.7109375" customWidth="1"/>
    <col min="3" max="3" width="15.5703125" customWidth="1"/>
    <col min="4" max="4" width="13.42578125" customWidth="1"/>
    <col min="5" max="5" width="17.42578125" customWidth="1"/>
    <col min="6" max="6" width="18.28515625" bestFit="1" customWidth="1"/>
  </cols>
  <sheetData>
    <row r="1" spans="2:6" ht="18.75" x14ac:dyDescent="0.3">
      <c r="B1" s="322" t="s">
        <v>221</v>
      </c>
      <c r="C1" s="322"/>
      <c r="D1" s="322"/>
      <c r="E1" s="322"/>
      <c r="F1" s="322"/>
    </row>
    <row r="2" spans="2:6" ht="18.75" x14ac:dyDescent="0.3">
      <c r="B2" s="322" t="s">
        <v>0</v>
      </c>
      <c r="C2" s="322"/>
      <c r="D2" s="322"/>
      <c r="E2" s="322"/>
      <c r="F2" s="322"/>
    </row>
    <row r="4" spans="2:6" ht="22.5" customHeight="1" x14ac:dyDescent="0.25">
      <c r="B4" s="323" t="s">
        <v>222</v>
      </c>
      <c r="C4" s="423" t="s">
        <v>107</v>
      </c>
      <c r="D4" s="424"/>
      <c r="E4" s="424"/>
      <c r="F4" s="79" t="s">
        <v>226</v>
      </c>
    </row>
    <row r="5" spans="2:6" ht="22.5" customHeight="1" thickBot="1" x14ac:dyDescent="0.3">
      <c r="B5" s="323"/>
      <c r="C5" s="269" t="s">
        <v>223</v>
      </c>
      <c r="D5" s="269" t="s">
        <v>224</v>
      </c>
      <c r="E5" s="269" t="s">
        <v>225</v>
      </c>
      <c r="F5" s="80" t="s">
        <v>84</v>
      </c>
    </row>
    <row r="6" spans="2:6" ht="18.75" customHeight="1" thickTop="1" x14ac:dyDescent="0.25">
      <c r="B6" s="279" t="s">
        <v>85</v>
      </c>
      <c r="C6" s="276">
        <f>2+3+0+0+0+0+1+3+0+1+0+1</f>
        <v>11</v>
      </c>
      <c r="D6" s="276">
        <f>0+1+1+0+1+1+1+2+3+0+0+0</f>
        <v>10</v>
      </c>
      <c r="E6" s="276">
        <f>10+14+0+2+0+0+1+2+3+0+0+0</f>
        <v>32</v>
      </c>
      <c r="F6" s="276">
        <f>SUM(C6:E6)</f>
        <v>53</v>
      </c>
    </row>
    <row r="7" spans="2:6" ht="18.75" customHeight="1" x14ac:dyDescent="0.25">
      <c r="B7" s="280" t="s">
        <v>86</v>
      </c>
      <c r="C7" s="276">
        <f>0+0+0+0+0+0+0+1+1+0+0+0</f>
        <v>2</v>
      </c>
      <c r="D7" s="276">
        <f>0+4+0+1+0+0+0+0+0+0+0+0</f>
        <v>5</v>
      </c>
      <c r="E7" s="276">
        <f>0+2+0+0+0+0+0+0+0+0+0+0</f>
        <v>2</v>
      </c>
      <c r="F7" s="276">
        <f t="shared" ref="F7:F29" si="0">SUM(C7:E7)</f>
        <v>9</v>
      </c>
    </row>
    <row r="8" spans="2:6" ht="18.75" customHeight="1" x14ac:dyDescent="0.25">
      <c r="B8" s="280" t="s">
        <v>87</v>
      </c>
      <c r="C8" s="276">
        <f>32+6+0+1+0+3+0+3+3+6+2+0</f>
        <v>56</v>
      </c>
      <c r="D8" s="276">
        <f>0+0+0+0+0+0+0+1+0+0+0+0</f>
        <v>1</v>
      </c>
      <c r="E8" s="276">
        <f>0+0+2+0+0+0+0+0+1+0+0+0</f>
        <v>3</v>
      </c>
      <c r="F8" s="276">
        <f t="shared" si="0"/>
        <v>60</v>
      </c>
    </row>
    <row r="9" spans="2:6" ht="18.75" customHeight="1" x14ac:dyDescent="0.25">
      <c r="B9" s="280" t="s">
        <v>88</v>
      </c>
      <c r="C9" s="276">
        <f>5+3+0+0+2+0+0+15+4+11+7+13</f>
        <v>60</v>
      </c>
      <c r="D9" s="276">
        <f>1+3+0+0+1+0+0+0+3+0+0+0</f>
        <v>8</v>
      </c>
      <c r="E9" s="276">
        <f>0+0+0+0+0+1+4+0+6+1+0+4</f>
        <v>16</v>
      </c>
      <c r="F9" s="276">
        <f t="shared" si="0"/>
        <v>84</v>
      </c>
    </row>
    <row r="10" spans="2:6" ht="18.75" customHeight="1" x14ac:dyDescent="0.25">
      <c r="B10" s="280" t="s">
        <v>89</v>
      </c>
      <c r="C10" s="276">
        <f>15+7+2+2+1+0+0+0+5+6+1+0</f>
        <v>39</v>
      </c>
      <c r="D10" s="276">
        <f>7+30+2+1+0+0+0+0+14+2+1+0</f>
        <v>57</v>
      </c>
      <c r="E10" s="276">
        <f>43+29+3+1+0+0+0+0+0+2+1+0</f>
        <v>79</v>
      </c>
      <c r="F10" s="276">
        <f t="shared" si="0"/>
        <v>175</v>
      </c>
    </row>
    <row r="11" spans="2:6" ht="18.75" customHeight="1" x14ac:dyDescent="0.25">
      <c r="B11" s="280" t="s">
        <v>189</v>
      </c>
      <c r="C11" s="276">
        <f>13+42+0+0+0+0+2+0+1+4+0+0</f>
        <v>62</v>
      </c>
      <c r="D11" s="276">
        <f>12+27+0+0+0+0+1+0+0+0+0+0</f>
        <v>40</v>
      </c>
      <c r="E11" s="276">
        <f>39+14+0+0+0+0+0+0+0+1+0+0</f>
        <v>54</v>
      </c>
      <c r="F11" s="276">
        <f t="shared" si="0"/>
        <v>156</v>
      </c>
    </row>
    <row r="12" spans="2:6" ht="18.75" customHeight="1" x14ac:dyDescent="0.25">
      <c r="B12" s="280" t="s">
        <v>90</v>
      </c>
      <c r="C12" s="276">
        <f>2+0+0+0+1+3+0+0+0+0+0+0</f>
        <v>6</v>
      </c>
      <c r="D12" s="276">
        <f>1+0+0+0+0+0+0+0+0+0+0+0+0</f>
        <v>1</v>
      </c>
      <c r="E12" s="276">
        <f>0+6+0+0+10+0+0+0+0+0+0+0</f>
        <v>16</v>
      </c>
      <c r="F12" s="276">
        <f t="shared" si="0"/>
        <v>23</v>
      </c>
    </row>
    <row r="13" spans="2:6" ht="18.75" customHeight="1" x14ac:dyDescent="0.25">
      <c r="B13" s="280" t="s">
        <v>91</v>
      </c>
      <c r="C13" s="276">
        <f>0+10+0+0+2+0+1+4+8+0+0+0</f>
        <v>25</v>
      </c>
      <c r="D13" s="276">
        <f>0+3+0+0+1+0+1+0+5+0+0+0</f>
        <v>10</v>
      </c>
      <c r="E13" s="276">
        <f>0+0+0+0+0+0+0+5+6+0+0+0</f>
        <v>11</v>
      </c>
      <c r="F13" s="276">
        <f t="shared" si="0"/>
        <v>46</v>
      </c>
    </row>
    <row r="14" spans="2:6" ht="18.75" customHeight="1" x14ac:dyDescent="0.25">
      <c r="B14" s="280" t="s">
        <v>92</v>
      </c>
      <c r="C14" s="276">
        <f>1+9+1+0+1+2+0+6+12+4+2+0</f>
        <v>38</v>
      </c>
      <c r="D14" s="276">
        <f>0+44+3+0+1+1+0+18+9+0+0+1</f>
        <v>77</v>
      </c>
      <c r="E14" s="276">
        <f>0+27+2+0+2+2+0+0+66+13+1+0+0</f>
        <v>113</v>
      </c>
      <c r="F14" s="276">
        <f t="shared" si="0"/>
        <v>228</v>
      </c>
    </row>
    <row r="15" spans="2:6" ht="18.75" customHeight="1" x14ac:dyDescent="0.25">
      <c r="B15" s="280" t="s">
        <v>94</v>
      </c>
      <c r="C15" s="276">
        <f>4+0+0+4+0+1+2+16+7+1+0+0</f>
        <v>35</v>
      </c>
      <c r="D15" s="276">
        <f>3+0+0+1+0+1+0+19+8+0+0+0</f>
        <v>32</v>
      </c>
      <c r="E15" s="276">
        <f>11+0+0+1+0+0+1+140+42+0+0+0</f>
        <v>195</v>
      </c>
      <c r="F15" s="276">
        <f t="shared" si="0"/>
        <v>262</v>
      </c>
    </row>
    <row r="16" spans="2:6" ht="18.75" customHeight="1" x14ac:dyDescent="0.25">
      <c r="B16" s="280" t="s">
        <v>93</v>
      </c>
      <c r="C16" s="276">
        <f>2+3+3+2+3+8+4+4+14+19+12+18</f>
        <v>92</v>
      </c>
      <c r="D16" s="276">
        <f>2+2+4+0+13+0+2+1+0+2+2+2</f>
        <v>30</v>
      </c>
      <c r="E16" s="276">
        <f>11+3+27+2+1+3+0+1+2+3+0+1</f>
        <v>54</v>
      </c>
      <c r="F16" s="276">
        <f t="shared" si="0"/>
        <v>176</v>
      </c>
    </row>
    <row r="17" spans="2:6" ht="18.75" customHeight="1" x14ac:dyDescent="0.25">
      <c r="B17" s="278" t="s">
        <v>95</v>
      </c>
      <c r="C17" s="276">
        <f>0+0+0+1+9+0+0+0+11+0+6+0</f>
        <v>27</v>
      </c>
      <c r="D17" s="276">
        <f>0+0+0+0+0+0+0+0+0+0+2</f>
        <v>2</v>
      </c>
      <c r="E17" s="276">
        <f>0+1+0+0+0+0+0+0+0+0+17+4</f>
        <v>22</v>
      </c>
      <c r="F17" s="276">
        <f t="shared" si="0"/>
        <v>51</v>
      </c>
    </row>
    <row r="18" spans="2:6" ht="18.75" customHeight="1" x14ac:dyDescent="0.25">
      <c r="B18" s="280" t="s">
        <v>190</v>
      </c>
      <c r="C18" s="276">
        <f>61+0+3+3+6+6+9+11+15+7+2+7</f>
        <v>130</v>
      </c>
      <c r="D18" s="276">
        <f>19+0+0+2+0+0+1+0+1+2+0+0</f>
        <v>25</v>
      </c>
      <c r="E18" s="276">
        <f>179+0+2+0+0+0+0+0+1+1+2+0</f>
        <v>185</v>
      </c>
      <c r="F18" s="276">
        <f t="shared" si="0"/>
        <v>340</v>
      </c>
    </row>
    <row r="19" spans="2:6" ht="18.75" customHeight="1" x14ac:dyDescent="0.25">
      <c r="B19" s="280" t="s">
        <v>96</v>
      </c>
      <c r="C19" s="276">
        <f>14+2+0+2+1+0+3+1+2+3+3+3</f>
        <v>34</v>
      </c>
      <c r="D19" s="276">
        <f>19+1+0+0+0+1+1+0+0+0+0+0</f>
        <v>22</v>
      </c>
      <c r="E19" s="276">
        <f>187+6+1+1+0+0+10+1+12+2+0+0</f>
        <v>220</v>
      </c>
      <c r="F19" s="276">
        <f t="shared" si="0"/>
        <v>276</v>
      </c>
    </row>
    <row r="20" spans="2:6" ht="15.75" x14ac:dyDescent="0.25">
      <c r="B20" s="280" t="s">
        <v>219</v>
      </c>
      <c r="C20" s="276">
        <f>21+21+5+4+2+1+12+0+2+3+1+0</f>
        <v>72</v>
      </c>
      <c r="D20" s="276">
        <f>41+17+0+0+0+0+7+0+1+2+0+0</f>
        <v>68</v>
      </c>
      <c r="E20" s="276">
        <f>32+33+2+0+0+0+18+1+0+7+0+0</f>
        <v>93</v>
      </c>
      <c r="F20" s="276">
        <f t="shared" si="0"/>
        <v>233</v>
      </c>
    </row>
    <row r="21" spans="2:6" ht="15.75" x14ac:dyDescent="0.25">
      <c r="B21" s="280" t="s">
        <v>98</v>
      </c>
      <c r="C21" s="276">
        <f>1+1+2+0+0+2+0+2+3+4+0+0</f>
        <v>15</v>
      </c>
      <c r="D21" s="276">
        <f>1+0+0+0+0+0+0+0+0+0+0+0</f>
        <v>1</v>
      </c>
      <c r="E21" s="276">
        <f>4+0+0+0+0+0+0+0+4+0+0+0</f>
        <v>8</v>
      </c>
      <c r="F21" s="276">
        <f t="shared" si="0"/>
        <v>24</v>
      </c>
    </row>
    <row r="22" spans="2:6" ht="15.75" x14ac:dyDescent="0.25">
      <c r="B22" s="280" t="s">
        <v>99</v>
      </c>
      <c r="C22" s="276">
        <f>0+2+0+0+2+1+0+0+0+6+0+1</f>
        <v>12</v>
      </c>
      <c r="D22" s="276">
        <f>0+3+0+0+1+0+0+0+0+0+0+0</f>
        <v>4</v>
      </c>
      <c r="E22" s="277">
        <f>0+0+0+0+1+0+0+0+0+0+0+0</f>
        <v>1</v>
      </c>
      <c r="F22" s="276">
        <f t="shared" si="0"/>
        <v>17</v>
      </c>
    </row>
    <row r="23" spans="2:6" ht="15.75" x14ac:dyDescent="0.25">
      <c r="B23" s="280" t="s">
        <v>100</v>
      </c>
      <c r="C23" s="276">
        <f>1+4+10+3+0+0+0+0+1+3+0+0</f>
        <v>22</v>
      </c>
      <c r="D23" s="277">
        <f>0+0+0+0+0+0+0+0+0+0+0+0</f>
        <v>0</v>
      </c>
      <c r="E23" s="277">
        <f>0+1+0+0+0+0+0+0+0+0+0+0</f>
        <v>1</v>
      </c>
      <c r="F23" s="276">
        <f t="shared" si="0"/>
        <v>23</v>
      </c>
    </row>
    <row r="24" spans="2:6" ht="15.75" x14ac:dyDescent="0.25">
      <c r="B24" s="280" t="s">
        <v>101</v>
      </c>
      <c r="C24" s="276">
        <f>4+0+4+2+0+1+0+0+0+2+3+2</f>
        <v>18</v>
      </c>
      <c r="D24" s="277">
        <f>0+0+0+0+0+0+0+0+1+0+0+0</f>
        <v>1</v>
      </c>
      <c r="E24" s="277">
        <f>0+0+0+0+0+0+0+0+0+0+0+60</f>
        <v>60</v>
      </c>
      <c r="F24" s="276">
        <f t="shared" si="0"/>
        <v>79</v>
      </c>
    </row>
    <row r="25" spans="2:6" ht="15.75" x14ac:dyDescent="0.25">
      <c r="B25" s="280" t="s">
        <v>102</v>
      </c>
      <c r="C25" s="277">
        <f>0+0+0+2+0+0+3+2+3+1+0+1</f>
        <v>12</v>
      </c>
      <c r="D25" s="277">
        <f>2+1+0+0+0+0+2+0+0+1+6+0</f>
        <v>12</v>
      </c>
      <c r="E25" s="277">
        <f>0+0+0+0+0+0+1+0+0+0+0+0</f>
        <v>1</v>
      </c>
      <c r="F25" s="276">
        <f t="shared" si="0"/>
        <v>25</v>
      </c>
    </row>
    <row r="26" spans="2:6" ht="15.75" x14ac:dyDescent="0.25">
      <c r="B26" s="280" t="s">
        <v>103</v>
      </c>
      <c r="C26" s="276">
        <f>1+8+0+0+0+2+1+1+1+1+0+0+4+1</f>
        <v>20</v>
      </c>
      <c r="D26" s="277">
        <f>0+0+0+0+0+0+0+0+0+0+1+2</f>
        <v>3</v>
      </c>
      <c r="E26" s="277">
        <f>0+0+0+0+0+0+0+0+0+0+1</f>
        <v>1</v>
      </c>
      <c r="F26" s="276">
        <f t="shared" si="0"/>
        <v>24</v>
      </c>
    </row>
    <row r="27" spans="2:6" ht="15.75" x14ac:dyDescent="0.25">
      <c r="B27" s="280" t="s">
        <v>104</v>
      </c>
      <c r="C27" s="276">
        <f>76+0+8+0+14+25+0+6+10+37+13+1</f>
        <v>190</v>
      </c>
      <c r="D27" s="277">
        <f>0+0+0+0+0+3+0+0+0+9+0+0</f>
        <v>12</v>
      </c>
      <c r="E27" s="277">
        <f>117+0+2+0+0+8+0+3+3+2+2+0</f>
        <v>137</v>
      </c>
      <c r="F27" s="276">
        <f t="shared" si="0"/>
        <v>339</v>
      </c>
    </row>
    <row r="28" spans="2:6" ht="15.75" x14ac:dyDescent="0.25">
      <c r="B28" s="280" t="s">
        <v>105</v>
      </c>
      <c r="C28" s="276">
        <f>2+13+0+1+0+1+4+2+4+1+0+0</f>
        <v>28</v>
      </c>
      <c r="D28" s="277">
        <f>11+0+0+0+0+0+3+0+0+0+1+1</f>
        <v>16</v>
      </c>
      <c r="E28" s="277">
        <f>4+428+0+0+0+0+0+41+3+0+1+1</f>
        <v>478</v>
      </c>
      <c r="F28" s="276">
        <f t="shared" si="0"/>
        <v>522</v>
      </c>
    </row>
    <row r="29" spans="2:6" ht="15.75" x14ac:dyDescent="0.25">
      <c r="B29" s="280" t="s">
        <v>106</v>
      </c>
      <c r="C29" s="276">
        <f>1+2+0+1+1+1+0+1+0+1+0+1</f>
        <v>9</v>
      </c>
      <c r="D29" s="277">
        <f>0+0+0+0+0+0+0+0+0+1+0+0</f>
        <v>1</v>
      </c>
      <c r="E29" s="277">
        <f>1+0+0+1+0+0+0+0+0+0+0</f>
        <v>2</v>
      </c>
      <c r="F29" s="276">
        <f t="shared" si="0"/>
        <v>12</v>
      </c>
    </row>
    <row r="30" spans="2:6" ht="15.75" x14ac:dyDescent="0.25">
      <c r="B30" s="281" t="s">
        <v>15</v>
      </c>
      <c r="C30" s="282">
        <f>SUM(C6:C29)</f>
        <v>1015</v>
      </c>
      <c r="D30" s="282">
        <f t="shared" ref="D30:F30" si="1">SUM(D6:D29)</f>
        <v>438</v>
      </c>
      <c r="E30" s="282">
        <f t="shared" si="1"/>
        <v>1784</v>
      </c>
      <c r="F30" s="282">
        <f t="shared" si="1"/>
        <v>3237</v>
      </c>
    </row>
  </sheetData>
  <mergeCells count="4">
    <mergeCell ref="B1:F1"/>
    <mergeCell ref="B2:F2"/>
    <mergeCell ref="B4:B5"/>
    <mergeCell ref="C4:E4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115A-FF69-403E-ADE2-4845837165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9776-8CE9-4706-829E-B1B5EF7E33C7}">
  <dimension ref="A1:P298"/>
  <sheetViews>
    <sheetView workbookViewId="0">
      <selection activeCell="H13" sqref="H13"/>
    </sheetView>
  </sheetViews>
  <sheetFormatPr defaultRowHeight="15" x14ac:dyDescent="0.25"/>
  <sheetData>
    <row r="1" spans="1:16" ht="17.25" thickTop="1" thickBot="1" x14ac:dyDescent="0.3">
      <c r="A1" s="19"/>
      <c r="B1" s="22"/>
      <c r="C1" s="22"/>
      <c r="D1" s="317" t="s">
        <v>41</v>
      </c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9"/>
      <c r="P1" s="320" t="s">
        <v>42</v>
      </c>
    </row>
    <row r="2" spans="1:16" ht="54.75" thickBot="1" x14ac:dyDescent="0.3">
      <c r="A2" s="20" t="s">
        <v>1</v>
      </c>
      <c r="B2" s="23" t="s">
        <v>2</v>
      </c>
      <c r="C2" s="25" t="s">
        <v>3</v>
      </c>
      <c r="D2" s="27" t="s">
        <v>43</v>
      </c>
      <c r="E2" s="27" t="s">
        <v>44</v>
      </c>
      <c r="F2" s="27" t="s">
        <v>45</v>
      </c>
      <c r="G2" s="27" t="s">
        <v>46</v>
      </c>
      <c r="H2" s="27" t="s">
        <v>47</v>
      </c>
      <c r="I2" s="27" t="s">
        <v>48</v>
      </c>
      <c r="J2" s="27" t="s">
        <v>49</v>
      </c>
      <c r="K2" s="27" t="s">
        <v>50</v>
      </c>
      <c r="L2" s="27" t="s">
        <v>51</v>
      </c>
      <c r="M2" s="28" t="s">
        <v>52</v>
      </c>
      <c r="N2" s="27" t="s">
        <v>53</v>
      </c>
      <c r="O2" s="27" t="s">
        <v>54</v>
      </c>
      <c r="P2" s="321"/>
    </row>
    <row r="3" spans="1:16" ht="15.75" thickBot="1" x14ac:dyDescent="0.3">
      <c r="A3" s="21"/>
      <c r="B3" s="24"/>
      <c r="C3" s="26"/>
      <c r="D3" s="29">
        <v>0</v>
      </c>
      <c r="E3" s="29" t="s">
        <v>55</v>
      </c>
      <c r="F3" s="29" t="s">
        <v>55</v>
      </c>
      <c r="G3" s="29" t="s">
        <v>55</v>
      </c>
      <c r="H3" s="29" t="s">
        <v>55</v>
      </c>
      <c r="I3" s="29" t="s">
        <v>55</v>
      </c>
      <c r="J3" s="29" t="s">
        <v>55</v>
      </c>
      <c r="K3" s="29" t="s">
        <v>55</v>
      </c>
      <c r="L3" s="29" t="s">
        <v>55</v>
      </c>
      <c r="M3" s="30" t="s">
        <v>55</v>
      </c>
      <c r="N3" s="29" t="s">
        <v>55</v>
      </c>
      <c r="O3" s="29" t="s">
        <v>55</v>
      </c>
      <c r="P3" s="31" t="s">
        <v>55</v>
      </c>
    </row>
    <row r="4" spans="1:16" ht="15.75" thickBot="1" x14ac:dyDescent="0.3">
      <c r="A4" s="32">
        <v>1</v>
      </c>
      <c r="B4" s="33">
        <v>2</v>
      </c>
      <c r="C4" s="33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  <c r="I4" s="34">
        <v>9</v>
      </c>
      <c r="J4" s="34">
        <v>10</v>
      </c>
      <c r="K4" s="34">
        <v>11</v>
      </c>
      <c r="L4" s="34">
        <v>12</v>
      </c>
      <c r="M4" s="35">
        <v>13</v>
      </c>
      <c r="N4" s="34">
        <v>14</v>
      </c>
      <c r="O4" s="34">
        <v>15</v>
      </c>
      <c r="P4" s="36">
        <v>16</v>
      </c>
    </row>
    <row r="5" spans="1:16" ht="15.75" thickBot="1" x14ac:dyDescent="0.3">
      <c r="A5" s="314">
        <v>1</v>
      </c>
      <c r="B5" s="307" t="s">
        <v>16</v>
      </c>
      <c r="C5" s="37" t="s">
        <v>56</v>
      </c>
      <c r="D5" s="38"/>
      <c r="E5" s="38"/>
      <c r="F5" s="38"/>
      <c r="G5" s="38"/>
      <c r="H5" s="38"/>
      <c r="I5" s="38"/>
      <c r="J5" s="39">
        <v>2</v>
      </c>
      <c r="K5" s="38"/>
      <c r="L5" s="38"/>
      <c r="M5" s="38"/>
      <c r="N5" s="38"/>
      <c r="O5" s="38"/>
      <c r="P5" s="40">
        <v>2</v>
      </c>
    </row>
    <row r="6" spans="1:16" ht="18.75" thickBot="1" x14ac:dyDescent="0.3">
      <c r="A6" s="315"/>
      <c r="B6" s="308"/>
      <c r="C6" s="37" t="s">
        <v>57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40">
        <v>0</v>
      </c>
    </row>
    <row r="7" spans="1:16" ht="18.75" thickBot="1" x14ac:dyDescent="0.3">
      <c r="A7" s="315"/>
      <c r="B7" s="308"/>
      <c r="C7" s="37" t="s">
        <v>58</v>
      </c>
      <c r="D7" s="38"/>
      <c r="E7" s="38"/>
      <c r="F7" s="38"/>
      <c r="G7" s="38"/>
      <c r="H7" s="38"/>
      <c r="I7" s="38"/>
      <c r="J7" s="39">
        <v>1</v>
      </c>
      <c r="K7" s="38"/>
      <c r="L7" s="38"/>
      <c r="M7" s="38"/>
      <c r="N7" s="38"/>
      <c r="O7" s="38"/>
      <c r="P7" s="40">
        <v>1</v>
      </c>
    </row>
    <row r="8" spans="1:16" ht="18.75" thickBot="1" x14ac:dyDescent="0.3">
      <c r="A8" s="315"/>
      <c r="B8" s="308"/>
      <c r="C8" s="37" t="s">
        <v>59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0">
        <v>0</v>
      </c>
    </row>
    <row r="9" spans="1:16" ht="18.75" thickBot="1" x14ac:dyDescent="0.3">
      <c r="A9" s="315"/>
      <c r="B9" s="308"/>
      <c r="C9" s="37" t="s">
        <v>60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40">
        <v>0</v>
      </c>
    </row>
    <row r="10" spans="1:16" ht="18.75" thickBot="1" x14ac:dyDescent="0.3">
      <c r="A10" s="315"/>
      <c r="B10" s="308"/>
      <c r="C10" s="37" t="s">
        <v>61</v>
      </c>
      <c r="D10" s="38"/>
      <c r="E10" s="38"/>
      <c r="F10" s="38"/>
      <c r="G10" s="39">
        <v>1</v>
      </c>
      <c r="H10" s="38"/>
      <c r="I10" s="38"/>
      <c r="J10" s="39">
        <v>1</v>
      </c>
      <c r="K10" s="38"/>
      <c r="L10" s="38"/>
      <c r="M10" s="38"/>
      <c r="N10" s="38"/>
      <c r="O10" s="38"/>
      <c r="P10" s="40">
        <v>2</v>
      </c>
    </row>
    <row r="11" spans="1:16" ht="18.75" thickBot="1" x14ac:dyDescent="0.3">
      <c r="A11" s="315"/>
      <c r="B11" s="308"/>
      <c r="C11" s="37" t="s">
        <v>62</v>
      </c>
      <c r="D11" s="39">
        <v>1</v>
      </c>
      <c r="E11" s="39">
        <v>1</v>
      </c>
      <c r="F11" s="41"/>
      <c r="G11" s="39">
        <v>2</v>
      </c>
      <c r="H11" s="41"/>
      <c r="I11" s="39">
        <v>1</v>
      </c>
      <c r="J11" s="39">
        <v>1</v>
      </c>
      <c r="K11" s="39">
        <v>2</v>
      </c>
      <c r="L11" s="39">
        <v>3</v>
      </c>
      <c r="M11" s="39">
        <v>1</v>
      </c>
      <c r="N11" s="41"/>
      <c r="O11" s="41"/>
      <c r="P11" s="40">
        <v>12</v>
      </c>
    </row>
    <row r="12" spans="1:16" ht="18.75" thickBot="1" x14ac:dyDescent="0.3">
      <c r="A12" s="315"/>
      <c r="B12" s="308"/>
      <c r="C12" s="37" t="s">
        <v>63</v>
      </c>
      <c r="D12" s="39">
        <v>3</v>
      </c>
      <c r="E12" s="39">
        <v>6</v>
      </c>
      <c r="F12" s="39">
        <v>2</v>
      </c>
      <c r="G12" s="39">
        <v>2</v>
      </c>
      <c r="H12" s="39">
        <v>2</v>
      </c>
      <c r="I12" s="38"/>
      <c r="J12" s="39">
        <v>2</v>
      </c>
      <c r="K12" s="39">
        <v>2</v>
      </c>
      <c r="L12" s="39">
        <v>1</v>
      </c>
      <c r="M12" s="38"/>
      <c r="N12" s="38"/>
      <c r="O12" s="39">
        <v>1</v>
      </c>
      <c r="P12" s="40">
        <v>21</v>
      </c>
    </row>
    <row r="13" spans="1:16" ht="27.75" thickBot="1" x14ac:dyDescent="0.3">
      <c r="A13" s="315"/>
      <c r="B13" s="308"/>
      <c r="C13" s="37" t="s">
        <v>64</v>
      </c>
      <c r="D13" s="38"/>
      <c r="E13" s="38"/>
      <c r="F13" s="38"/>
      <c r="G13" s="38"/>
      <c r="H13" s="38"/>
      <c r="I13" s="38"/>
      <c r="J13" s="38"/>
      <c r="K13" s="39">
        <v>1</v>
      </c>
      <c r="L13" s="38"/>
      <c r="M13" s="38"/>
      <c r="N13" s="38"/>
      <c r="O13" s="38"/>
      <c r="P13" s="40">
        <v>1</v>
      </c>
    </row>
    <row r="14" spans="1:16" ht="15.75" thickBot="1" x14ac:dyDescent="0.3">
      <c r="A14" s="315"/>
      <c r="B14" s="308"/>
      <c r="C14" s="42" t="s">
        <v>65</v>
      </c>
      <c r="D14" s="39">
        <v>1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40">
        <v>1</v>
      </c>
    </row>
    <row r="15" spans="1:16" ht="15.75" thickBot="1" x14ac:dyDescent="0.3">
      <c r="A15" s="315"/>
      <c r="B15" s="308"/>
      <c r="C15" s="42" t="s">
        <v>66</v>
      </c>
      <c r="D15" s="38"/>
      <c r="E15" s="38"/>
      <c r="F15" s="38"/>
      <c r="G15" s="38"/>
      <c r="H15" s="38"/>
      <c r="I15" s="38"/>
      <c r="J15" s="38"/>
      <c r="K15" s="38"/>
      <c r="L15" s="39">
        <v>2</v>
      </c>
      <c r="M15" s="39">
        <v>8</v>
      </c>
      <c r="N15" s="38"/>
      <c r="O15" s="38"/>
      <c r="P15" s="40">
        <v>10</v>
      </c>
    </row>
    <row r="16" spans="1:16" ht="18.75" thickBot="1" x14ac:dyDescent="0.3">
      <c r="A16" s="316"/>
      <c r="B16" s="309"/>
      <c r="C16" s="42" t="s">
        <v>67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0">
        <v>0</v>
      </c>
    </row>
    <row r="17" spans="1:16" ht="15.75" thickBot="1" x14ac:dyDescent="0.3">
      <c r="A17" s="301" t="s">
        <v>15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3"/>
      <c r="P17" s="63">
        <f>SUM(P5:P16)</f>
        <v>50</v>
      </c>
    </row>
    <row r="18" spans="1:16" ht="15.75" thickBot="1" x14ac:dyDescent="0.3">
      <c r="A18" s="314">
        <v>2</v>
      </c>
      <c r="B18" s="295" t="s">
        <v>19</v>
      </c>
      <c r="C18" s="37" t="s">
        <v>56</v>
      </c>
      <c r="D18" s="43"/>
      <c r="E18" s="43"/>
      <c r="F18" s="43"/>
      <c r="G18" s="43"/>
      <c r="H18" s="39">
        <v>2</v>
      </c>
      <c r="I18" s="39">
        <v>1</v>
      </c>
      <c r="J18" s="43"/>
      <c r="K18" s="43"/>
      <c r="L18" s="43"/>
      <c r="M18" s="43"/>
      <c r="N18" s="43"/>
      <c r="O18" s="43"/>
      <c r="P18" s="40">
        <v>3</v>
      </c>
    </row>
    <row r="19" spans="1:16" ht="18.75" thickBot="1" x14ac:dyDescent="0.3">
      <c r="A19" s="315"/>
      <c r="B19" s="296"/>
      <c r="C19" s="37" t="s">
        <v>57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40">
        <v>0</v>
      </c>
    </row>
    <row r="20" spans="1:16" ht="18.75" thickBot="1" x14ac:dyDescent="0.3">
      <c r="A20" s="315"/>
      <c r="B20" s="296"/>
      <c r="C20" s="37" t="s">
        <v>58</v>
      </c>
      <c r="D20" s="38"/>
      <c r="E20" s="38"/>
      <c r="F20" s="38"/>
      <c r="G20" s="38"/>
      <c r="H20" s="39">
        <v>3</v>
      </c>
      <c r="I20" s="38"/>
      <c r="J20" s="38"/>
      <c r="K20" s="38"/>
      <c r="L20" s="38"/>
      <c r="M20" s="38"/>
      <c r="N20" s="38"/>
      <c r="O20" s="38"/>
      <c r="P20" s="40">
        <v>3</v>
      </c>
    </row>
    <row r="21" spans="1:16" ht="18.75" thickBot="1" x14ac:dyDescent="0.3">
      <c r="A21" s="315"/>
      <c r="B21" s="296"/>
      <c r="C21" s="37" t="s">
        <v>59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40">
        <v>0</v>
      </c>
    </row>
    <row r="22" spans="1:16" ht="18.75" thickBot="1" x14ac:dyDescent="0.3">
      <c r="A22" s="315"/>
      <c r="B22" s="296"/>
      <c r="C22" s="37" t="s">
        <v>60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40">
        <v>0</v>
      </c>
    </row>
    <row r="23" spans="1:16" ht="18.75" thickBot="1" x14ac:dyDescent="0.3">
      <c r="A23" s="315"/>
      <c r="B23" s="296"/>
      <c r="C23" s="37" t="s">
        <v>61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40">
        <v>0</v>
      </c>
    </row>
    <row r="24" spans="1:16" ht="18.75" thickBot="1" x14ac:dyDescent="0.3">
      <c r="A24" s="315"/>
      <c r="B24" s="296"/>
      <c r="C24" s="37" t="s">
        <v>62</v>
      </c>
      <c r="D24" s="38"/>
      <c r="E24" s="38"/>
      <c r="F24" s="38"/>
      <c r="G24" s="38"/>
      <c r="H24" s="38"/>
      <c r="I24" s="38"/>
      <c r="J24" s="39">
        <v>1</v>
      </c>
      <c r="K24" s="38"/>
      <c r="L24" s="38"/>
      <c r="M24" s="38"/>
      <c r="N24" s="38"/>
      <c r="O24" s="38"/>
      <c r="P24" s="40">
        <v>1</v>
      </c>
    </row>
    <row r="25" spans="1:16" ht="18.75" thickBot="1" x14ac:dyDescent="0.3">
      <c r="A25" s="315"/>
      <c r="B25" s="296"/>
      <c r="C25" s="37" t="s">
        <v>63</v>
      </c>
      <c r="D25" s="38"/>
      <c r="E25" s="39">
        <v>2</v>
      </c>
      <c r="F25" s="38"/>
      <c r="G25" s="39">
        <v>1</v>
      </c>
      <c r="H25" s="38"/>
      <c r="I25" s="38"/>
      <c r="J25" s="38"/>
      <c r="K25" s="38"/>
      <c r="L25" s="39">
        <v>1</v>
      </c>
      <c r="M25" s="38"/>
      <c r="N25" s="38"/>
      <c r="O25" s="38"/>
      <c r="P25" s="40">
        <v>4</v>
      </c>
    </row>
    <row r="26" spans="1:16" ht="27.75" thickBot="1" x14ac:dyDescent="0.3">
      <c r="A26" s="315"/>
      <c r="B26" s="296"/>
      <c r="C26" s="37" t="s">
        <v>64</v>
      </c>
      <c r="D26" s="38"/>
      <c r="E26" s="39">
        <v>1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40">
        <v>1</v>
      </c>
    </row>
    <row r="27" spans="1:16" ht="15.75" thickBot="1" x14ac:dyDescent="0.3">
      <c r="A27" s="315"/>
      <c r="B27" s="296"/>
      <c r="C27" s="42" t="s">
        <v>65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40">
        <v>0</v>
      </c>
    </row>
    <row r="28" spans="1:16" ht="15.75" thickBot="1" x14ac:dyDescent="0.3">
      <c r="A28" s="315"/>
      <c r="B28" s="296"/>
      <c r="C28" s="42" t="s">
        <v>66</v>
      </c>
      <c r="D28" s="38"/>
      <c r="E28" s="38"/>
      <c r="F28" s="38"/>
      <c r="G28" s="38"/>
      <c r="H28" s="38"/>
      <c r="I28" s="38"/>
      <c r="J28" s="38"/>
      <c r="K28" s="38"/>
      <c r="L28" s="39">
        <v>1</v>
      </c>
      <c r="M28" s="39">
        <v>1</v>
      </c>
      <c r="N28" s="38"/>
      <c r="O28" s="38"/>
      <c r="P28" s="40">
        <v>2</v>
      </c>
    </row>
    <row r="29" spans="1:16" ht="18.75" thickBot="1" x14ac:dyDescent="0.3">
      <c r="A29" s="316"/>
      <c r="B29" s="310"/>
      <c r="C29" s="42" t="s">
        <v>67</v>
      </c>
      <c r="D29" s="38"/>
      <c r="E29" s="38"/>
      <c r="F29" s="38"/>
      <c r="G29" s="38"/>
      <c r="H29" s="38"/>
      <c r="I29" s="38"/>
      <c r="J29" s="38"/>
      <c r="K29" s="38"/>
      <c r="L29" s="39">
        <v>16</v>
      </c>
      <c r="M29" s="44">
        <v>11</v>
      </c>
      <c r="N29" s="38"/>
      <c r="O29" s="38"/>
      <c r="P29" s="40">
        <v>27</v>
      </c>
    </row>
    <row r="30" spans="1:16" ht="15.75" thickBot="1" x14ac:dyDescent="0.3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3"/>
      <c r="P30" s="63">
        <f>SUM(P18:P29)</f>
        <v>41</v>
      </c>
    </row>
    <row r="31" spans="1:16" ht="15.75" thickBot="1" x14ac:dyDescent="0.3">
      <c r="A31" s="314">
        <v>3</v>
      </c>
      <c r="B31" s="295" t="s">
        <v>17</v>
      </c>
      <c r="C31" s="37" t="s">
        <v>56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40">
        <v>0</v>
      </c>
    </row>
    <row r="32" spans="1:16" ht="18.75" thickBot="1" x14ac:dyDescent="0.3">
      <c r="A32" s="315"/>
      <c r="B32" s="296"/>
      <c r="C32" s="37" t="s">
        <v>57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40">
        <v>0</v>
      </c>
    </row>
    <row r="33" spans="1:16" ht="18.75" thickBot="1" x14ac:dyDescent="0.3">
      <c r="A33" s="315"/>
      <c r="B33" s="296"/>
      <c r="C33" s="37" t="s">
        <v>58</v>
      </c>
      <c r="D33" s="38"/>
      <c r="E33" s="38"/>
      <c r="F33" s="39">
        <v>1</v>
      </c>
      <c r="G33" s="38"/>
      <c r="H33" s="38"/>
      <c r="I33" s="38"/>
      <c r="J33" s="38"/>
      <c r="K33" s="38"/>
      <c r="L33" s="38"/>
      <c r="M33" s="38"/>
      <c r="N33" s="38"/>
      <c r="O33" s="38"/>
      <c r="P33" s="40">
        <v>1</v>
      </c>
    </row>
    <row r="34" spans="1:16" ht="18.75" thickBot="1" x14ac:dyDescent="0.3">
      <c r="A34" s="315"/>
      <c r="B34" s="296"/>
      <c r="C34" s="37" t="s">
        <v>59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40">
        <v>0</v>
      </c>
    </row>
    <row r="35" spans="1:16" ht="18.75" thickBot="1" x14ac:dyDescent="0.3">
      <c r="A35" s="315"/>
      <c r="B35" s="296"/>
      <c r="C35" s="37" t="s">
        <v>60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40">
        <v>0</v>
      </c>
    </row>
    <row r="36" spans="1:16" ht="18.75" thickBot="1" x14ac:dyDescent="0.3">
      <c r="A36" s="315"/>
      <c r="B36" s="296"/>
      <c r="C36" s="37" t="s">
        <v>61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40">
        <v>0</v>
      </c>
    </row>
    <row r="37" spans="1:16" ht="18.75" thickBot="1" x14ac:dyDescent="0.3">
      <c r="A37" s="315"/>
      <c r="B37" s="296"/>
      <c r="C37" s="37" t="s">
        <v>62</v>
      </c>
      <c r="D37" s="38"/>
      <c r="E37" s="39">
        <v>3</v>
      </c>
      <c r="F37" s="38"/>
      <c r="G37" s="39">
        <v>1</v>
      </c>
      <c r="H37" s="38"/>
      <c r="I37" s="39">
        <v>2</v>
      </c>
      <c r="J37" s="38"/>
      <c r="K37" s="39">
        <v>2</v>
      </c>
      <c r="L37" s="39">
        <v>4</v>
      </c>
      <c r="M37" s="39">
        <v>4</v>
      </c>
      <c r="N37" s="39">
        <v>1</v>
      </c>
      <c r="O37" s="38"/>
      <c r="P37" s="40">
        <v>17</v>
      </c>
    </row>
    <row r="38" spans="1:16" ht="18.75" thickBot="1" x14ac:dyDescent="0.3">
      <c r="A38" s="315"/>
      <c r="B38" s="296"/>
      <c r="C38" s="37" t="s">
        <v>63</v>
      </c>
      <c r="D38" s="39">
        <v>1</v>
      </c>
      <c r="E38" s="38"/>
      <c r="F38" s="38"/>
      <c r="G38" s="38"/>
      <c r="H38" s="38"/>
      <c r="I38" s="38"/>
      <c r="J38" s="38"/>
      <c r="K38" s="38"/>
      <c r="L38" s="39">
        <v>2</v>
      </c>
      <c r="M38" s="38"/>
      <c r="N38" s="38"/>
      <c r="O38" s="38"/>
      <c r="P38" s="40">
        <v>3</v>
      </c>
    </row>
    <row r="39" spans="1:16" ht="27.75" thickBot="1" x14ac:dyDescent="0.3">
      <c r="A39" s="315"/>
      <c r="B39" s="296"/>
      <c r="C39" s="37" t="s">
        <v>64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40">
        <v>0</v>
      </c>
    </row>
    <row r="40" spans="1:16" ht="15.75" thickBot="1" x14ac:dyDescent="0.3">
      <c r="A40" s="315"/>
      <c r="B40" s="296"/>
      <c r="C40" s="42" t="s">
        <v>65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40">
        <v>0</v>
      </c>
    </row>
    <row r="41" spans="1:16" ht="15.75" thickBot="1" x14ac:dyDescent="0.3">
      <c r="A41" s="315"/>
      <c r="B41" s="296"/>
      <c r="C41" s="42" t="s">
        <v>66</v>
      </c>
      <c r="D41" s="38"/>
      <c r="E41" s="38"/>
      <c r="F41" s="38"/>
      <c r="G41" s="38"/>
      <c r="H41" s="38"/>
      <c r="I41" s="38"/>
      <c r="J41" s="38"/>
      <c r="K41" s="38"/>
      <c r="L41" s="39">
        <v>4</v>
      </c>
      <c r="M41" s="39">
        <v>4</v>
      </c>
      <c r="N41" s="38"/>
      <c r="O41" s="38"/>
      <c r="P41" s="40">
        <v>8</v>
      </c>
    </row>
    <row r="42" spans="1:16" ht="18.75" thickBot="1" x14ac:dyDescent="0.3">
      <c r="A42" s="316"/>
      <c r="B42" s="310"/>
      <c r="C42" s="42" t="s">
        <v>67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40">
        <v>0</v>
      </c>
    </row>
    <row r="43" spans="1:16" ht="15.75" thickBot="1" x14ac:dyDescent="0.3">
      <c r="A43" s="314">
        <v>4</v>
      </c>
      <c r="B43" s="295" t="s">
        <v>20</v>
      </c>
      <c r="C43" s="37" t="s">
        <v>56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40">
        <v>0</v>
      </c>
    </row>
    <row r="44" spans="1:16" ht="18.75" thickBot="1" x14ac:dyDescent="0.3">
      <c r="A44" s="315"/>
      <c r="B44" s="296"/>
      <c r="C44" s="37" t="s">
        <v>57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40">
        <v>0</v>
      </c>
    </row>
    <row r="45" spans="1:16" ht="18.75" thickBot="1" x14ac:dyDescent="0.3">
      <c r="A45" s="315"/>
      <c r="B45" s="296"/>
      <c r="C45" s="37" t="s">
        <v>58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40">
        <v>0</v>
      </c>
    </row>
    <row r="46" spans="1:16" ht="18.75" thickBot="1" x14ac:dyDescent="0.3">
      <c r="A46" s="315"/>
      <c r="B46" s="296"/>
      <c r="C46" s="37" t="s">
        <v>59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40">
        <v>0</v>
      </c>
    </row>
    <row r="47" spans="1:16" ht="18.75" thickBot="1" x14ac:dyDescent="0.3">
      <c r="A47" s="315"/>
      <c r="B47" s="296"/>
      <c r="C47" s="37" t="s">
        <v>60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40">
        <v>0</v>
      </c>
    </row>
    <row r="48" spans="1:16" ht="18.75" thickBot="1" x14ac:dyDescent="0.3">
      <c r="A48" s="315"/>
      <c r="B48" s="296"/>
      <c r="C48" s="37" t="s">
        <v>61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40">
        <v>0</v>
      </c>
    </row>
    <row r="49" spans="1:16" ht="18.75" thickBot="1" x14ac:dyDescent="0.3">
      <c r="A49" s="315"/>
      <c r="B49" s="296"/>
      <c r="C49" s="37" t="s">
        <v>62</v>
      </c>
      <c r="D49" s="39">
        <v>2</v>
      </c>
      <c r="E49" s="38"/>
      <c r="F49" s="38"/>
      <c r="G49" s="38"/>
      <c r="H49" s="39">
        <v>1</v>
      </c>
      <c r="I49" s="38"/>
      <c r="J49" s="38"/>
      <c r="K49" s="39">
        <v>8</v>
      </c>
      <c r="L49" s="39">
        <v>5</v>
      </c>
      <c r="M49" s="39">
        <v>3</v>
      </c>
      <c r="N49" s="39">
        <v>3</v>
      </c>
      <c r="O49" s="39">
        <v>7</v>
      </c>
      <c r="P49" s="40">
        <v>29</v>
      </c>
    </row>
    <row r="50" spans="1:16" ht="18.75" thickBot="1" x14ac:dyDescent="0.3">
      <c r="A50" s="315"/>
      <c r="B50" s="296"/>
      <c r="C50" s="37" t="s">
        <v>63</v>
      </c>
      <c r="D50" s="39">
        <v>1</v>
      </c>
      <c r="E50" s="41"/>
      <c r="F50" s="41"/>
      <c r="G50" s="41"/>
      <c r="H50" s="41"/>
      <c r="I50" s="41"/>
      <c r="J50" s="41"/>
      <c r="K50" s="41"/>
      <c r="L50" s="39">
        <v>1</v>
      </c>
      <c r="M50" s="41"/>
      <c r="N50" s="39">
        <v>1</v>
      </c>
      <c r="O50" s="39">
        <v>1</v>
      </c>
      <c r="P50" s="40">
        <v>4</v>
      </c>
    </row>
    <row r="51" spans="1:16" ht="27.75" thickBot="1" x14ac:dyDescent="0.3">
      <c r="A51" s="315"/>
      <c r="B51" s="296"/>
      <c r="C51" s="37" t="s">
        <v>64</v>
      </c>
      <c r="D51" s="41"/>
      <c r="E51" s="39">
        <v>2</v>
      </c>
      <c r="F51" s="41"/>
      <c r="G51" s="41"/>
      <c r="H51" s="41"/>
      <c r="I51" s="39">
        <v>1</v>
      </c>
      <c r="J51" s="41"/>
      <c r="K51" s="41"/>
      <c r="L51" s="41"/>
      <c r="M51" s="39">
        <v>1</v>
      </c>
      <c r="N51" s="41"/>
      <c r="O51" s="41"/>
      <c r="P51" s="40">
        <v>4</v>
      </c>
    </row>
    <row r="52" spans="1:16" ht="15.75" thickBot="1" x14ac:dyDescent="0.3">
      <c r="A52" s="315"/>
      <c r="B52" s="296"/>
      <c r="C52" s="42" t="s">
        <v>65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40">
        <v>0</v>
      </c>
    </row>
    <row r="53" spans="1:16" ht="15.75" thickBot="1" x14ac:dyDescent="0.3">
      <c r="A53" s="315"/>
      <c r="B53" s="296"/>
      <c r="C53" s="42" t="s">
        <v>66</v>
      </c>
      <c r="D53" s="38"/>
      <c r="E53" s="38"/>
      <c r="F53" s="38"/>
      <c r="G53" s="38"/>
      <c r="H53" s="38"/>
      <c r="I53" s="38"/>
      <c r="J53" s="38"/>
      <c r="K53" s="38"/>
      <c r="L53" s="39">
        <v>1</v>
      </c>
      <c r="M53" s="38"/>
      <c r="N53" s="38"/>
      <c r="O53" s="38"/>
      <c r="P53" s="40">
        <v>1</v>
      </c>
    </row>
    <row r="54" spans="1:16" ht="18.75" thickBot="1" x14ac:dyDescent="0.3">
      <c r="A54" s="316"/>
      <c r="B54" s="310"/>
      <c r="C54" s="42" t="s">
        <v>67</v>
      </c>
      <c r="D54" s="38"/>
      <c r="E54" s="38"/>
      <c r="F54" s="38"/>
      <c r="G54" s="38"/>
      <c r="H54" s="38"/>
      <c r="I54" s="38"/>
      <c r="J54" s="38"/>
      <c r="K54" s="38"/>
      <c r="L54" s="39">
        <v>7</v>
      </c>
      <c r="M54" s="38"/>
      <c r="N54" s="38"/>
      <c r="O54" s="38"/>
      <c r="P54" s="40">
        <v>7</v>
      </c>
    </row>
    <row r="55" spans="1:16" ht="15.75" thickBot="1" x14ac:dyDescent="0.3">
      <c r="A55" s="314">
        <v>5</v>
      </c>
      <c r="B55" s="307" t="s">
        <v>21</v>
      </c>
      <c r="C55" s="37" t="s">
        <v>56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40">
        <v>0</v>
      </c>
    </row>
    <row r="56" spans="1:16" ht="18.75" thickBot="1" x14ac:dyDescent="0.3">
      <c r="A56" s="315"/>
      <c r="B56" s="308"/>
      <c r="C56" s="37" t="s">
        <v>57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40">
        <v>0</v>
      </c>
    </row>
    <row r="57" spans="1:16" ht="18.75" thickBot="1" x14ac:dyDescent="0.3">
      <c r="A57" s="315"/>
      <c r="B57" s="308"/>
      <c r="C57" s="37" t="s">
        <v>58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40">
        <v>0</v>
      </c>
    </row>
    <row r="58" spans="1:16" ht="18.75" thickBot="1" x14ac:dyDescent="0.3">
      <c r="A58" s="315"/>
      <c r="B58" s="308"/>
      <c r="C58" s="37" t="s">
        <v>59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40">
        <v>0</v>
      </c>
    </row>
    <row r="59" spans="1:16" ht="18.75" thickBot="1" x14ac:dyDescent="0.3">
      <c r="A59" s="315"/>
      <c r="B59" s="308"/>
      <c r="C59" s="37" t="s">
        <v>60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40">
        <v>0</v>
      </c>
    </row>
    <row r="60" spans="1:16" ht="18.75" thickBot="1" x14ac:dyDescent="0.3">
      <c r="A60" s="315"/>
      <c r="B60" s="308"/>
      <c r="C60" s="37" t="s">
        <v>61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40">
        <v>0</v>
      </c>
    </row>
    <row r="61" spans="1:16" ht="18.75" thickBot="1" x14ac:dyDescent="0.3">
      <c r="A61" s="315"/>
      <c r="B61" s="308"/>
      <c r="C61" s="37" t="s">
        <v>62</v>
      </c>
      <c r="D61" s="38"/>
      <c r="E61" s="38"/>
      <c r="F61" s="39">
        <v>1</v>
      </c>
      <c r="G61" s="39">
        <v>2</v>
      </c>
      <c r="H61" s="38"/>
      <c r="I61" s="38"/>
      <c r="J61" s="38"/>
      <c r="K61" s="38"/>
      <c r="L61" s="39">
        <v>5</v>
      </c>
      <c r="M61" s="39">
        <v>3</v>
      </c>
      <c r="N61" s="39">
        <v>1</v>
      </c>
      <c r="O61" s="38"/>
      <c r="P61" s="40">
        <v>12</v>
      </c>
    </row>
    <row r="62" spans="1:16" ht="18.75" thickBot="1" x14ac:dyDescent="0.3">
      <c r="A62" s="315"/>
      <c r="B62" s="308"/>
      <c r="C62" s="37" t="s">
        <v>63</v>
      </c>
      <c r="D62" s="39">
        <v>1</v>
      </c>
      <c r="E62" s="39">
        <v>10</v>
      </c>
      <c r="F62" s="39">
        <v>2</v>
      </c>
      <c r="G62" s="39">
        <v>2</v>
      </c>
      <c r="H62" s="38"/>
      <c r="I62" s="38"/>
      <c r="J62" s="38"/>
      <c r="K62" s="38"/>
      <c r="L62" s="39">
        <v>5</v>
      </c>
      <c r="M62" s="39">
        <v>2</v>
      </c>
      <c r="N62" s="38"/>
      <c r="O62" s="38"/>
      <c r="P62" s="40">
        <v>22</v>
      </c>
    </row>
    <row r="63" spans="1:16" ht="27.75" thickBot="1" x14ac:dyDescent="0.3">
      <c r="A63" s="315"/>
      <c r="B63" s="308"/>
      <c r="C63" s="37" t="s">
        <v>64</v>
      </c>
      <c r="D63" s="39">
        <v>5</v>
      </c>
      <c r="E63" s="39">
        <v>7</v>
      </c>
      <c r="F63" s="38"/>
      <c r="G63" s="38"/>
      <c r="H63" s="38"/>
      <c r="I63" s="38"/>
      <c r="J63" s="38"/>
      <c r="K63" s="38"/>
      <c r="L63" s="39">
        <v>1</v>
      </c>
      <c r="M63" s="39">
        <v>1</v>
      </c>
      <c r="N63" s="38"/>
      <c r="O63" s="38"/>
      <c r="P63" s="40">
        <v>14</v>
      </c>
    </row>
    <row r="64" spans="1:16" ht="15.75" thickBot="1" x14ac:dyDescent="0.3">
      <c r="A64" s="315"/>
      <c r="B64" s="308"/>
      <c r="C64" s="42" t="s">
        <v>65</v>
      </c>
      <c r="D64" s="39">
        <v>2</v>
      </c>
      <c r="E64" s="38"/>
      <c r="F64" s="39">
        <v>1</v>
      </c>
      <c r="G64" s="38"/>
      <c r="H64" s="38"/>
      <c r="I64" s="38"/>
      <c r="J64" s="38"/>
      <c r="K64" s="38"/>
      <c r="L64" s="38"/>
      <c r="M64" s="38"/>
      <c r="N64" s="38"/>
      <c r="O64" s="38"/>
      <c r="P64" s="40">
        <v>3</v>
      </c>
    </row>
    <row r="65" spans="1:16" ht="15.75" thickBot="1" x14ac:dyDescent="0.3">
      <c r="A65" s="315"/>
      <c r="B65" s="308"/>
      <c r="C65" s="42" t="s">
        <v>66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40">
        <v>0</v>
      </c>
    </row>
    <row r="66" spans="1:16" ht="18.75" thickBot="1" x14ac:dyDescent="0.3">
      <c r="A66" s="316"/>
      <c r="B66" s="309"/>
      <c r="C66" s="42" t="s">
        <v>67</v>
      </c>
      <c r="D66" s="38"/>
      <c r="E66" s="38"/>
      <c r="F66" s="38"/>
      <c r="G66" s="38"/>
      <c r="H66" s="38"/>
      <c r="I66" s="38"/>
      <c r="J66" s="38"/>
      <c r="K66" s="38"/>
      <c r="L66" s="39">
        <v>1</v>
      </c>
      <c r="M66" s="44">
        <v>22</v>
      </c>
      <c r="N66" s="39">
        <v>11</v>
      </c>
      <c r="O66" s="38"/>
      <c r="P66" s="40">
        <v>34</v>
      </c>
    </row>
    <row r="67" spans="1:16" ht="15.75" thickBot="1" x14ac:dyDescent="0.3">
      <c r="A67" s="314">
        <v>6</v>
      </c>
      <c r="B67" s="314" t="s">
        <v>22</v>
      </c>
      <c r="C67" s="37" t="s">
        <v>56</v>
      </c>
      <c r="D67" s="38"/>
      <c r="E67" s="39">
        <v>1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40">
        <v>1</v>
      </c>
    </row>
    <row r="68" spans="1:16" ht="18.75" thickBot="1" x14ac:dyDescent="0.3">
      <c r="A68" s="315"/>
      <c r="B68" s="315"/>
      <c r="C68" s="37" t="s">
        <v>57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40">
        <v>0</v>
      </c>
    </row>
    <row r="69" spans="1:16" ht="18.75" thickBot="1" x14ac:dyDescent="0.3">
      <c r="A69" s="315"/>
      <c r="B69" s="315"/>
      <c r="C69" s="37" t="s">
        <v>58</v>
      </c>
      <c r="D69" s="39">
        <v>1</v>
      </c>
      <c r="E69" s="39">
        <v>1</v>
      </c>
      <c r="F69" s="38"/>
      <c r="G69" s="38"/>
      <c r="H69" s="38"/>
      <c r="I69" s="38"/>
      <c r="J69" s="38"/>
      <c r="K69" s="38"/>
      <c r="L69" s="38"/>
      <c r="M69" s="38"/>
      <c r="N69" s="38"/>
      <c r="O69" s="39">
        <v>1</v>
      </c>
      <c r="P69" s="40">
        <v>3</v>
      </c>
    </row>
    <row r="70" spans="1:16" ht="18.75" thickBot="1" x14ac:dyDescent="0.3">
      <c r="A70" s="315"/>
      <c r="B70" s="315"/>
      <c r="C70" s="37" t="s">
        <v>59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40">
        <v>0</v>
      </c>
    </row>
    <row r="71" spans="1:16" ht="18.75" thickBot="1" x14ac:dyDescent="0.3">
      <c r="A71" s="315"/>
      <c r="B71" s="315"/>
      <c r="C71" s="37" t="s">
        <v>60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40">
        <v>0</v>
      </c>
    </row>
    <row r="72" spans="1:16" ht="18.75" thickBot="1" x14ac:dyDescent="0.3">
      <c r="A72" s="315"/>
      <c r="B72" s="315"/>
      <c r="C72" s="37" t="s">
        <v>61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40">
        <v>0</v>
      </c>
    </row>
    <row r="73" spans="1:16" ht="18.75" thickBot="1" x14ac:dyDescent="0.3">
      <c r="A73" s="315"/>
      <c r="B73" s="315"/>
      <c r="C73" s="37" t="s">
        <v>62</v>
      </c>
      <c r="D73" s="38"/>
      <c r="E73" s="38"/>
      <c r="F73" s="38"/>
      <c r="G73" s="38"/>
      <c r="H73" s="38"/>
      <c r="I73" s="38"/>
      <c r="J73" s="39">
        <v>1</v>
      </c>
      <c r="K73" s="38"/>
      <c r="L73" s="39">
        <v>2</v>
      </c>
      <c r="M73" s="39">
        <v>1</v>
      </c>
      <c r="N73" s="38"/>
      <c r="O73" s="38"/>
      <c r="P73" s="40">
        <v>4</v>
      </c>
    </row>
    <row r="74" spans="1:16" ht="18.75" thickBot="1" x14ac:dyDescent="0.3">
      <c r="A74" s="315"/>
      <c r="B74" s="315"/>
      <c r="C74" s="37" t="s">
        <v>63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40">
        <v>0</v>
      </c>
    </row>
    <row r="75" spans="1:16" ht="27.75" thickBot="1" x14ac:dyDescent="0.3">
      <c r="A75" s="315"/>
      <c r="B75" s="315"/>
      <c r="C75" s="37" t="s">
        <v>64</v>
      </c>
      <c r="D75" s="39">
        <v>2</v>
      </c>
      <c r="E75" s="39">
        <v>1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40">
        <v>3</v>
      </c>
    </row>
    <row r="76" spans="1:16" ht="15.75" thickBot="1" x14ac:dyDescent="0.3">
      <c r="A76" s="315"/>
      <c r="B76" s="315"/>
      <c r="C76" s="42" t="s">
        <v>65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40">
        <v>0</v>
      </c>
    </row>
    <row r="77" spans="1:16" ht="15.75" thickBot="1" x14ac:dyDescent="0.3">
      <c r="A77" s="315"/>
      <c r="B77" s="315"/>
      <c r="C77" s="42" t="s">
        <v>66</v>
      </c>
      <c r="D77" s="38"/>
      <c r="E77" s="38"/>
      <c r="F77" s="38"/>
      <c r="G77" s="38"/>
      <c r="H77" s="38"/>
      <c r="I77" s="38"/>
      <c r="J77" s="38"/>
      <c r="K77" s="38"/>
      <c r="L77" s="38"/>
      <c r="M77" s="39">
        <v>2</v>
      </c>
      <c r="N77" s="38"/>
      <c r="O77" s="38"/>
      <c r="P77" s="40">
        <v>2</v>
      </c>
    </row>
    <row r="78" spans="1:16" ht="18.75" thickBot="1" x14ac:dyDescent="0.3">
      <c r="A78" s="316"/>
      <c r="B78" s="316"/>
      <c r="C78" s="42" t="s">
        <v>67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40">
        <v>0</v>
      </c>
    </row>
    <row r="79" spans="1:16" ht="15.75" thickBot="1" x14ac:dyDescent="0.3">
      <c r="A79" s="314">
        <v>7</v>
      </c>
      <c r="B79" s="314" t="s">
        <v>18</v>
      </c>
      <c r="C79" s="37" t="s">
        <v>56</v>
      </c>
      <c r="D79" s="38"/>
      <c r="E79" s="38"/>
      <c r="F79" s="38"/>
      <c r="G79" s="38"/>
      <c r="H79" s="39">
        <v>7</v>
      </c>
      <c r="I79" s="39">
        <v>6</v>
      </c>
      <c r="J79" s="39">
        <v>1</v>
      </c>
      <c r="K79" s="38"/>
      <c r="L79" s="38"/>
      <c r="M79" s="38"/>
      <c r="N79" s="38"/>
      <c r="O79" s="38"/>
      <c r="P79" s="40">
        <v>14</v>
      </c>
    </row>
    <row r="80" spans="1:16" ht="18.75" thickBot="1" x14ac:dyDescent="0.3">
      <c r="A80" s="315"/>
      <c r="B80" s="315"/>
      <c r="C80" s="37" t="s">
        <v>57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40">
        <v>0</v>
      </c>
    </row>
    <row r="81" spans="1:16" ht="18.75" thickBot="1" x14ac:dyDescent="0.3">
      <c r="A81" s="315"/>
      <c r="B81" s="315"/>
      <c r="C81" s="37" t="s">
        <v>58</v>
      </c>
      <c r="D81" s="38"/>
      <c r="E81" s="38"/>
      <c r="F81" s="38"/>
      <c r="G81" s="38"/>
      <c r="H81" s="39">
        <v>3</v>
      </c>
      <c r="I81" s="39">
        <v>4</v>
      </c>
      <c r="J81" s="39">
        <v>1</v>
      </c>
      <c r="K81" s="38"/>
      <c r="L81" s="38"/>
      <c r="M81" s="38"/>
      <c r="N81" s="38"/>
      <c r="O81" s="39">
        <v>1</v>
      </c>
      <c r="P81" s="40">
        <v>9</v>
      </c>
    </row>
    <row r="82" spans="1:16" ht="18.75" thickBot="1" x14ac:dyDescent="0.3">
      <c r="A82" s="315"/>
      <c r="B82" s="315"/>
      <c r="C82" s="37" t="s">
        <v>59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40">
        <v>0</v>
      </c>
    </row>
    <row r="83" spans="1:16" ht="18.75" thickBot="1" x14ac:dyDescent="0.3">
      <c r="A83" s="315"/>
      <c r="B83" s="315"/>
      <c r="C83" s="37" t="s">
        <v>60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40">
        <v>0</v>
      </c>
    </row>
    <row r="84" spans="1:16" ht="18.75" thickBot="1" x14ac:dyDescent="0.3">
      <c r="A84" s="315"/>
      <c r="B84" s="315"/>
      <c r="C84" s="37" t="s">
        <v>61</v>
      </c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40">
        <v>0</v>
      </c>
    </row>
    <row r="85" spans="1:16" ht="15.75" thickBot="1" x14ac:dyDescent="0.3">
      <c r="A85" s="45"/>
    </row>
    <row r="86" spans="1:16" ht="18.75" thickBot="1" x14ac:dyDescent="0.3">
      <c r="A86" s="304"/>
      <c r="B86" s="304"/>
      <c r="C86" s="46" t="s">
        <v>62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8">
        <v>0</v>
      </c>
    </row>
    <row r="87" spans="1:16" ht="18.75" thickBot="1" x14ac:dyDescent="0.3">
      <c r="A87" s="304"/>
      <c r="B87" s="304"/>
      <c r="C87" s="37" t="s">
        <v>63</v>
      </c>
      <c r="D87" s="44">
        <v>1</v>
      </c>
      <c r="E87" s="38"/>
      <c r="F87" s="38"/>
      <c r="G87" s="38"/>
      <c r="H87" s="39">
        <v>2</v>
      </c>
      <c r="I87" s="39">
        <v>1</v>
      </c>
      <c r="J87" s="38"/>
      <c r="K87" s="38"/>
      <c r="L87" s="38"/>
      <c r="M87" s="38"/>
      <c r="N87" s="38"/>
      <c r="O87" s="38"/>
      <c r="P87" s="49">
        <v>4</v>
      </c>
    </row>
    <row r="88" spans="1:16" ht="27.75" thickBot="1" x14ac:dyDescent="0.3">
      <c r="A88" s="304"/>
      <c r="B88" s="304"/>
      <c r="C88" s="37" t="s">
        <v>64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49">
        <v>0</v>
      </c>
    </row>
    <row r="89" spans="1:16" ht="15.75" thickBot="1" x14ac:dyDescent="0.3">
      <c r="A89" s="304"/>
      <c r="B89" s="304"/>
      <c r="C89" s="42" t="s">
        <v>65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49">
        <v>0</v>
      </c>
    </row>
    <row r="90" spans="1:16" ht="15.75" thickBot="1" x14ac:dyDescent="0.3">
      <c r="A90" s="304"/>
      <c r="B90" s="304"/>
      <c r="C90" s="42" t="s">
        <v>66</v>
      </c>
      <c r="D90" s="38"/>
      <c r="E90" s="38"/>
      <c r="F90" s="38"/>
      <c r="G90" s="38"/>
      <c r="H90" s="38"/>
      <c r="I90" s="38"/>
      <c r="J90" s="38"/>
      <c r="K90" s="38"/>
      <c r="L90" s="38"/>
      <c r="M90" s="50">
        <v>10</v>
      </c>
      <c r="N90" s="39">
        <v>2</v>
      </c>
      <c r="O90" s="38"/>
      <c r="P90" s="49">
        <v>12</v>
      </c>
    </row>
    <row r="91" spans="1:16" ht="18.75" thickBot="1" x14ac:dyDescent="0.3">
      <c r="A91" s="305"/>
      <c r="B91" s="305"/>
      <c r="C91" s="42" t="s">
        <v>67</v>
      </c>
      <c r="D91" s="38"/>
      <c r="E91" s="38"/>
      <c r="F91" s="38"/>
      <c r="G91" s="38"/>
      <c r="H91" s="38"/>
      <c r="I91" s="38"/>
      <c r="J91" s="38"/>
      <c r="K91" s="38"/>
      <c r="L91" s="39">
        <v>1</v>
      </c>
      <c r="M91" s="38"/>
      <c r="N91" s="38"/>
      <c r="O91" s="38"/>
      <c r="P91" s="49">
        <v>1</v>
      </c>
    </row>
    <row r="92" spans="1:16" ht="15.75" thickBot="1" x14ac:dyDescent="0.3">
      <c r="A92" s="314">
        <v>8</v>
      </c>
      <c r="B92" s="307" t="s">
        <v>24</v>
      </c>
      <c r="C92" s="37" t="s">
        <v>56</v>
      </c>
      <c r="D92" s="38"/>
      <c r="E92" s="39">
        <v>4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49">
        <v>4</v>
      </c>
    </row>
    <row r="93" spans="1:16" ht="18.75" thickBot="1" x14ac:dyDescent="0.3">
      <c r="A93" s="315"/>
      <c r="B93" s="308"/>
      <c r="C93" s="37" t="s">
        <v>57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49">
        <v>0</v>
      </c>
    </row>
    <row r="94" spans="1:16" ht="18.75" thickBot="1" x14ac:dyDescent="0.3">
      <c r="A94" s="315"/>
      <c r="B94" s="308"/>
      <c r="C94" s="37" t="s">
        <v>58</v>
      </c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49">
        <v>0</v>
      </c>
    </row>
    <row r="95" spans="1:16" ht="18.75" thickBot="1" x14ac:dyDescent="0.3">
      <c r="A95" s="315"/>
      <c r="B95" s="308"/>
      <c r="C95" s="37" t="s">
        <v>59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49">
        <v>0</v>
      </c>
    </row>
    <row r="96" spans="1:16" ht="18.75" thickBot="1" x14ac:dyDescent="0.3">
      <c r="A96" s="315"/>
      <c r="B96" s="308"/>
      <c r="C96" s="37" t="s">
        <v>60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49">
        <v>0</v>
      </c>
    </row>
    <row r="97" spans="1:16" ht="18.75" thickBot="1" x14ac:dyDescent="0.3">
      <c r="A97" s="315"/>
      <c r="B97" s="308"/>
      <c r="C97" s="37" t="s">
        <v>61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49">
        <v>0</v>
      </c>
    </row>
    <row r="98" spans="1:16" ht="18.75" thickBot="1" x14ac:dyDescent="0.3">
      <c r="A98" s="315"/>
      <c r="B98" s="308"/>
      <c r="C98" s="37" t="s">
        <v>62</v>
      </c>
      <c r="D98" s="38"/>
      <c r="E98" s="38"/>
      <c r="F98" s="38"/>
      <c r="G98" s="38"/>
      <c r="H98" s="39">
        <v>2</v>
      </c>
      <c r="I98" s="38"/>
      <c r="J98" s="39">
        <v>2</v>
      </c>
      <c r="K98" s="39">
        <v>3</v>
      </c>
      <c r="L98" s="39">
        <v>3</v>
      </c>
      <c r="M98" s="38"/>
      <c r="N98" s="38"/>
      <c r="O98" s="38"/>
      <c r="P98" s="49">
        <v>10</v>
      </c>
    </row>
    <row r="99" spans="1:16" ht="18.75" thickBot="1" x14ac:dyDescent="0.3">
      <c r="A99" s="315"/>
      <c r="B99" s="308"/>
      <c r="C99" s="37" t="s">
        <v>63</v>
      </c>
      <c r="D99" s="38"/>
      <c r="E99" s="39">
        <v>7</v>
      </c>
      <c r="F99" s="38"/>
      <c r="G99" s="38"/>
      <c r="H99" s="38"/>
      <c r="I99" s="38"/>
      <c r="J99" s="38"/>
      <c r="K99" s="39">
        <v>3</v>
      </c>
      <c r="L99" s="39">
        <v>3</v>
      </c>
      <c r="M99" s="38"/>
      <c r="N99" s="38"/>
      <c r="O99" s="39">
        <v>1</v>
      </c>
      <c r="P99" s="49">
        <v>14</v>
      </c>
    </row>
    <row r="100" spans="1:16" ht="27.75" thickBot="1" x14ac:dyDescent="0.3">
      <c r="A100" s="315"/>
      <c r="B100" s="308"/>
      <c r="C100" s="37" t="s">
        <v>64</v>
      </c>
      <c r="D100" s="38"/>
      <c r="E100" s="39">
        <v>1</v>
      </c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49">
        <v>1</v>
      </c>
    </row>
    <row r="101" spans="1:16" ht="15.75" thickBot="1" x14ac:dyDescent="0.3">
      <c r="A101" s="315"/>
      <c r="B101" s="308"/>
      <c r="C101" s="42" t="s">
        <v>65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49">
        <v>0</v>
      </c>
    </row>
    <row r="102" spans="1:16" ht="15.75" thickBot="1" x14ac:dyDescent="0.3">
      <c r="A102" s="315"/>
      <c r="B102" s="308"/>
      <c r="C102" s="42" t="s">
        <v>66</v>
      </c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49">
        <v>0</v>
      </c>
    </row>
    <row r="103" spans="1:16" ht="18.75" thickBot="1" x14ac:dyDescent="0.3">
      <c r="A103" s="316"/>
      <c r="B103" s="309"/>
      <c r="C103" s="42" t="s">
        <v>67</v>
      </c>
      <c r="D103" s="38"/>
      <c r="E103" s="38"/>
      <c r="F103" s="38"/>
      <c r="G103" s="38"/>
      <c r="H103" s="38"/>
      <c r="I103" s="38"/>
      <c r="J103" s="38"/>
      <c r="K103" s="38"/>
      <c r="L103" s="39">
        <v>1</v>
      </c>
      <c r="M103" s="50">
        <v>2</v>
      </c>
      <c r="N103" s="38"/>
      <c r="O103" s="38"/>
      <c r="P103" s="49">
        <v>3</v>
      </c>
    </row>
    <row r="104" spans="1:16" ht="15.75" thickBot="1" x14ac:dyDescent="0.3">
      <c r="A104" s="314">
        <v>9</v>
      </c>
      <c r="B104" s="307" t="s">
        <v>25</v>
      </c>
      <c r="C104" s="37" t="s">
        <v>56</v>
      </c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49">
        <v>0</v>
      </c>
    </row>
    <row r="105" spans="1:16" ht="18.75" thickBot="1" x14ac:dyDescent="0.3">
      <c r="A105" s="315"/>
      <c r="B105" s="308"/>
      <c r="C105" s="37" t="s">
        <v>57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49">
        <v>0</v>
      </c>
    </row>
    <row r="106" spans="1:16" ht="18.75" thickBot="1" x14ac:dyDescent="0.3">
      <c r="A106" s="315"/>
      <c r="B106" s="308"/>
      <c r="C106" s="37" t="s">
        <v>58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9">
        <v>1</v>
      </c>
      <c r="O106" s="38"/>
      <c r="P106" s="49">
        <v>1</v>
      </c>
    </row>
    <row r="107" spans="1:16" ht="18.75" thickBot="1" x14ac:dyDescent="0.3">
      <c r="A107" s="315"/>
      <c r="B107" s="308"/>
      <c r="C107" s="37" t="s">
        <v>59</v>
      </c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49">
        <v>0</v>
      </c>
    </row>
    <row r="108" spans="1:16" ht="18.75" thickBot="1" x14ac:dyDescent="0.3">
      <c r="A108" s="315"/>
      <c r="B108" s="308"/>
      <c r="C108" s="37" t="s">
        <v>60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49">
        <v>0</v>
      </c>
    </row>
    <row r="109" spans="1:16" ht="18.75" thickBot="1" x14ac:dyDescent="0.3">
      <c r="A109" s="315"/>
      <c r="B109" s="308"/>
      <c r="C109" s="37" t="s">
        <v>61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49">
        <v>0</v>
      </c>
    </row>
    <row r="110" spans="1:16" ht="18.75" thickBot="1" x14ac:dyDescent="0.3">
      <c r="A110" s="315"/>
      <c r="B110" s="308"/>
      <c r="C110" s="37" t="s">
        <v>62</v>
      </c>
      <c r="D110" s="44">
        <v>1</v>
      </c>
      <c r="E110" s="38"/>
      <c r="F110" s="38"/>
      <c r="G110" s="38"/>
      <c r="H110" s="39">
        <v>3</v>
      </c>
      <c r="I110" s="39">
        <v>3</v>
      </c>
      <c r="J110" s="38"/>
      <c r="K110" s="39">
        <v>3</v>
      </c>
      <c r="L110" s="39">
        <v>4</v>
      </c>
      <c r="M110" s="50">
        <v>3</v>
      </c>
      <c r="N110" s="39">
        <v>2</v>
      </c>
      <c r="O110" s="38"/>
      <c r="P110" s="49">
        <v>19</v>
      </c>
    </row>
    <row r="111" spans="1:16" ht="18.75" thickBot="1" x14ac:dyDescent="0.3">
      <c r="A111" s="315"/>
      <c r="B111" s="308"/>
      <c r="C111" s="37" t="s">
        <v>63</v>
      </c>
      <c r="D111" s="38"/>
      <c r="E111" s="39">
        <v>4</v>
      </c>
      <c r="F111" s="39">
        <v>2</v>
      </c>
      <c r="G111" s="38"/>
      <c r="H111" s="38"/>
      <c r="I111" s="39">
        <v>2</v>
      </c>
      <c r="J111" s="38"/>
      <c r="K111" s="39">
        <v>9</v>
      </c>
      <c r="L111" s="39">
        <v>6</v>
      </c>
      <c r="M111" s="38"/>
      <c r="N111" s="39">
        <v>2</v>
      </c>
      <c r="O111" s="39">
        <v>1</v>
      </c>
      <c r="P111" s="49">
        <v>26</v>
      </c>
    </row>
    <row r="112" spans="1:16" ht="27.75" thickBot="1" x14ac:dyDescent="0.3">
      <c r="A112" s="315"/>
      <c r="B112" s="308"/>
      <c r="C112" s="37" t="s">
        <v>64</v>
      </c>
      <c r="D112" s="38"/>
      <c r="E112" s="39">
        <v>7</v>
      </c>
      <c r="F112" s="38"/>
      <c r="G112" s="38"/>
      <c r="H112" s="38"/>
      <c r="I112" s="38"/>
      <c r="J112" s="38"/>
      <c r="K112" s="38"/>
      <c r="L112" s="38"/>
      <c r="M112" s="50">
        <v>1</v>
      </c>
      <c r="N112" s="38"/>
      <c r="O112" s="38"/>
      <c r="P112" s="49">
        <v>8</v>
      </c>
    </row>
    <row r="113" spans="1:16" ht="15.75" thickBot="1" x14ac:dyDescent="0.3">
      <c r="A113" s="315"/>
      <c r="B113" s="308"/>
      <c r="C113" s="42" t="s">
        <v>65</v>
      </c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49">
        <v>0</v>
      </c>
    </row>
    <row r="114" spans="1:16" ht="15.75" thickBot="1" x14ac:dyDescent="0.3">
      <c r="A114" s="315"/>
      <c r="B114" s="308"/>
      <c r="C114" s="42" t="s">
        <v>66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49">
        <v>0</v>
      </c>
    </row>
    <row r="115" spans="1:16" ht="18.75" thickBot="1" x14ac:dyDescent="0.3">
      <c r="A115" s="316"/>
      <c r="B115" s="309"/>
      <c r="C115" s="42" t="s">
        <v>67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49">
        <v>0</v>
      </c>
    </row>
    <row r="116" spans="1:16" ht="15.75" thickBot="1" x14ac:dyDescent="0.3">
      <c r="A116" s="292">
        <v>10</v>
      </c>
      <c r="B116" s="314" t="s">
        <v>26</v>
      </c>
      <c r="C116" s="37" t="s">
        <v>56</v>
      </c>
      <c r="D116" s="38"/>
      <c r="E116" s="39">
        <v>2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49">
        <v>2</v>
      </c>
    </row>
    <row r="117" spans="1:16" ht="18.75" thickBot="1" x14ac:dyDescent="0.3">
      <c r="A117" s="293"/>
      <c r="B117" s="315"/>
      <c r="C117" s="37" t="s">
        <v>57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49">
        <v>0</v>
      </c>
    </row>
    <row r="118" spans="1:16" ht="18.75" thickBot="1" x14ac:dyDescent="0.3">
      <c r="A118" s="293"/>
      <c r="B118" s="315"/>
      <c r="C118" s="37" t="s">
        <v>58</v>
      </c>
      <c r="D118" s="44">
        <v>1</v>
      </c>
      <c r="E118" s="39">
        <v>1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49">
        <v>2</v>
      </c>
    </row>
    <row r="119" spans="1:16" ht="18.75" thickBot="1" x14ac:dyDescent="0.3">
      <c r="A119" s="293"/>
      <c r="B119" s="315"/>
      <c r="C119" s="37" t="s">
        <v>59</v>
      </c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49">
        <v>0</v>
      </c>
    </row>
    <row r="120" spans="1:16" ht="18.75" thickBot="1" x14ac:dyDescent="0.3">
      <c r="A120" s="293"/>
      <c r="B120" s="315"/>
      <c r="C120" s="37" t="s">
        <v>60</v>
      </c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49">
        <v>0</v>
      </c>
    </row>
    <row r="121" spans="1:16" ht="18.75" thickBot="1" x14ac:dyDescent="0.3">
      <c r="A121" s="293"/>
      <c r="B121" s="315"/>
      <c r="C121" s="37" t="s">
        <v>61</v>
      </c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49">
        <v>0</v>
      </c>
    </row>
    <row r="122" spans="1:16" ht="18.75" thickBot="1" x14ac:dyDescent="0.3">
      <c r="A122" s="293"/>
      <c r="B122" s="315"/>
      <c r="C122" s="37" t="s">
        <v>62</v>
      </c>
      <c r="D122" s="38"/>
      <c r="E122" s="39">
        <v>1</v>
      </c>
      <c r="F122" s="38"/>
      <c r="G122" s="39">
        <v>4</v>
      </c>
      <c r="H122" s="38"/>
      <c r="I122" s="39">
        <v>1</v>
      </c>
      <c r="J122" s="39">
        <v>1</v>
      </c>
      <c r="K122" s="39">
        <v>3</v>
      </c>
      <c r="L122" s="39">
        <v>2</v>
      </c>
      <c r="M122" s="50">
        <v>1</v>
      </c>
      <c r="N122" s="38"/>
      <c r="O122" s="38"/>
      <c r="P122" s="49">
        <v>13</v>
      </c>
    </row>
    <row r="123" spans="1:16" ht="18.75" thickBot="1" x14ac:dyDescent="0.3">
      <c r="A123" s="293"/>
      <c r="B123" s="315"/>
      <c r="C123" s="37" t="s">
        <v>63</v>
      </c>
      <c r="D123" s="44">
        <v>1</v>
      </c>
      <c r="E123" s="39">
        <v>1</v>
      </c>
      <c r="F123" s="38"/>
      <c r="G123" s="39">
        <v>1</v>
      </c>
      <c r="H123" s="38"/>
      <c r="I123" s="38"/>
      <c r="J123" s="39">
        <v>1</v>
      </c>
      <c r="K123" s="39">
        <v>7</v>
      </c>
      <c r="L123" s="39">
        <v>3</v>
      </c>
      <c r="M123" s="38"/>
      <c r="N123" s="38"/>
      <c r="O123" s="38"/>
      <c r="P123" s="49">
        <v>14</v>
      </c>
    </row>
    <row r="124" spans="1:16" ht="27.75" thickBot="1" x14ac:dyDescent="0.3">
      <c r="A124" s="293"/>
      <c r="B124" s="315"/>
      <c r="C124" s="37" t="s">
        <v>64</v>
      </c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49">
        <v>0</v>
      </c>
    </row>
    <row r="125" spans="1:16" ht="15.75" thickBot="1" x14ac:dyDescent="0.3">
      <c r="A125" s="293"/>
      <c r="B125" s="315"/>
      <c r="C125" s="42" t="s">
        <v>65</v>
      </c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49">
        <v>0</v>
      </c>
    </row>
    <row r="126" spans="1:16" ht="15.75" thickBot="1" x14ac:dyDescent="0.3">
      <c r="A126" s="293"/>
      <c r="B126" s="315"/>
      <c r="C126" s="42" t="s">
        <v>66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50">
        <v>2</v>
      </c>
      <c r="N126" s="38"/>
      <c r="O126" s="38"/>
      <c r="P126" s="49">
        <v>2</v>
      </c>
    </row>
    <row r="127" spans="1:16" ht="18.75" thickBot="1" x14ac:dyDescent="0.3">
      <c r="A127" s="306"/>
      <c r="B127" s="316"/>
      <c r="C127" s="42" t="s">
        <v>67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50">
        <v>2</v>
      </c>
      <c r="N127" s="38"/>
      <c r="O127" s="38"/>
      <c r="P127" s="49">
        <v>2</v>
      </c>
    </row>
    <row r="128" spans="1:16" ht="15.75" thickBot="1" x14ac:dyDescent="0.3">
      <c r="A128" s="292">
        <v>11</v>
      </c>
      <c r="B128" s="314" t="s">
        <v>32</v>
      </c>
      <c r="C128" s="37" t="s">
        <v>56</v>
      </c>
      <c r="D128" s="41"/>
      <c r="E128" s="39">
        <v>1</v>
      </c>
      <c r="F128" s="41"/>
      <c r="G128" s="41"/>
      <c r="H128" s="39">
        <v>1</v>
      </c>
      <c r="I128" s="41"/>
      <c r="J128" s="41"/>
      <c r="K128" s="41"/>
      <c r="L128" s="41"/>
      <c r="M128" s="41"/>
      <c r="N128" s="41"/>
      <c r="O128" s="41"/>
      <c r="P128" s="49">
        <v>2</v>
      </c>
    </row>
    <row r="129" spans="1:16" ht="18.75" thickBot="1" x14ac:dyDescent="0.3">
      <c r="A129" s="293"/>
      <c r="B129" s="315"/>
      <c r="C129" s="37" t="s">
        <v>57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49">
        <v>0</v>
      </c>
    </row>
    <row r="130" spans="1:16" ht="18.75" thickBot="1" x14ac:dyDescent="0.3">
      <c r="A130" s="293"/>
      <c r="B130" s="315"/>
      <c r="C130" s="37" t="s">
        <v>58</v>
      </c>
      <c r="D130" s="44">
        <v>3</v>
      </c>
      <c r="E130" s="39">
        <v>3</v>
      </c>
      <c r="F130" s="38"/>
      <c r="G130" s="38"/>
      <c r="H130" s="39">
        <v>3</v>
      </c>
      <c r="I130" s="39">
        <v>2</v>
      </c>
      <c r="J130" s="38"/>
      <c r="K130" s="38"/>
      <c r="L130" s="38"/>
      <c r="M130" s="38"/>
      <c r="N130" s="38"/>
      <c r="O130" s="38"/>
      <c r="P130" s="49">
        <v>11</v>
      </c>
    </row>
    <row r="131" spans="1:16" ht="18.75" thickBot="1" x14ac:dyDescent="0.3">
      <c r="A131" s="293"/>
      <c r="B131" s="315"/>
      <c r="C131" s="37" t="s">
        <v>59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49">
        <v>0</v>
      </c>
    </row>
    <row r="132" spans="1:16" ht="18.75" thickBot="1" x14ac:dyDescent="0.3">
      <c r="A132" s="293"/>
      <c r="B132" s="315"/>
      <c r="C132" s="37" t="s">
        <v>60</v>
      </c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49">
        <v>0</v>
      </c>
    </row>
    <row r="133" spans="1:16" ht="18.75" thickBot="1" x14ac:dyDescent="0.3">
      <c r="A133" s="293"/>
      <c r="B133" s="315"/>
      <c r="C133" s="37" t="s">
        <v>61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49">
        <v>0</v>
      </c>
    </row>
    <row r="134" spans="1:16" ht="18.75" thickBot="1" x14ac:dyDescent="0.3">
      <c r="A134" s="293"/>
      <c r="B134" s="315"/>
      <c r="C134" s="37" t="s">
        <v>62</v>
      </c>
      <c r="D134" s="44">
        <v>3</v>
      </c>
      <c r="E134" s="39">
        <v>5</v>
      </c>
      <c r="F134" s="39">
        <v>3</v>
      </c>
      <c r="G134" s="39">
        <v>6</v>
      </c>
      <c r="H134" s="39">
        <v>3</v>
      </c>
      <c r="I134" s="39">
        <v>4</v>
      </c>
      <c r="J134" s="39">
        <v>3</v>
      </c>
      <c r="K134" s="39">
        <v>4</v>
      </c>
      <c r="L134" s="39">
        <v>10</v>
      </c>
      <c r="M134" s="50">
        <v>10</v>
      </c>
      <c r="N134" s="39">
        <v>5</v>
      </c>
      <c r="O134" s="39">
        <v>6</v>
      </c>
      <c r="P134" s="49">
        <v>62</v>
      </c>
    </row>
    <row r="135" spans="1:16" ht="18.75" thickBot="1" x14ac:dyDescent="0.3">
      <c r="A135" s="293"/>
      <c r="B135" s="315"/>
      <c r="C135" s="37" t="s">
        <v>63</v>
      </c>
      <c r="D135" s="44">
        <v>3</v>
      </c>
      <c r="E135" s="39">
        <v>2</v>
      </c>
      <c r="F135" s="39">
        <v>6</v>
      </c>
      <c r="G135" s="39">
        <v>1</v>
      </c>
      <c r="H135" s="39">
        <v>2</v>
      </c>
      <c r="I135" s="43"/>
      <c r="J135" s="39">
        <v>4</v>
      </c>
      <c r="K135" s="43"/>
      <c r="L135" s="39">
        <v>1</v>
      </c>
      <c r="M135" s="50">
        <v>3</v>
      </c>
      <c r="N135" s="39">
        <v>1</v>
      </c>
      <c r="O135" s="39">
        <v>2</v>
      </c>
      <c r="P135" s="49">
        <v>25</v>
      </c>
    </row>
    <row r="136" spans="1:16" ht="27.75" thickBot="1" x14ac:dyDescent="0.3">
      <c r="A136" s="293"/>
      <c r="B136" s="315"/>
      <c r="C136" s="37" t="s">
        <v>64</v>
      </c>
      <c r="D136" s="38"/>
      <c r="E136" s="38"/>
      <c r="F136" s="39">
        <v>1</v>
      </c>
      <c r="G136" s="38"/>
      <c r="H136" s="38"/>
      <c r="I136" s="38"/>
      <c r="J136" s="38"/>
      <c r="K136" s="38"/>
      <c r="L136" s="38"/>
      <c r="M136" s="38"/>
      <c r="N136" s="38"/>
      <c r="O136" s="38"/>
      <c r="P136" s="49">
        <v>1</v>
      </c>
    </row>
    <row r="137" spans="1:16" ht="15.75" thickBot="1" x14ac:dyDescent="0.3">
      <c r="A137" s="293"/>
      <c r="B137" s="315"/>
      <c r="C137" s="42" t="s">
        <v>65</v>
      </c>
      <c r="D137" s="38"/>
      <c r="E137" s="38"/>
      <c r="F137" s="38"/>
      <c r="G137" s="38"/>
      <c r="H137" s="38"/>
      <c r="I137" s="38"/>
      <c r="J137" s="38"/>
      <c r="K137" s="39">
        <v>1</v>
      </c>
      <c r="L137" s="38"/>
      <c r="M137" s="38"/>
      <c r="N137" s="38"/>
      <c r="O137" s="38"/>
      <c r="P137" s="49">
        <v>1</v>
      </c>
    </row>
    <row r="138" spans="1:16" ht="15.75" thickBot="1" x14ac:dyDescent="0.3">
      <c r="A138" s="293"/>
      <c r="B138" s="315"/>
      <c r="C138" s="42" t="s">
        <v>66</v>
      </c>
      <c r="D138" s="38"/>
      <c r="E138" s="38"/>
      <c r="F138" s="38"/>
      <c r="G138" s="38"/>
      <c r="H138" s="38"/>
      <c r="I138" s="38"/>
      <c r="J138" s="38"/>
      <c r="K138" s="38"/>
      <c r="L138" s="39">
        <v>2</v>
      </c>
      <c r="M138" s="50">
        <v>14</v>
      </c>
      <c r="N138" s="39">
        <v>7</v>
      </c>
      <c r="O138" s="38"/>
      <c r="P138" s="49">
        <v>23</v>
      </c>
    </row>
    <row r="139" spans="1:16" ht="18.75" thickBot="1" x14ac:dyDescent="0.3">
      <c r="A139" s="306"/>
      <c r="B139" s="316"/>
      <c r="C139" s="42" t="s">
        <v>67</v>
      </c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49">
        <v>0</v>
      </c>
    </row>
    <row r="140" spans="1:16" ht="15.75" thickBot="1" x14ac:dyDescent="0.3">
      <c r="A140" s="292">
        <v>12</v>
      </c>
      <c r="B140" s="307" t="s">
        <v>31</v>
      </c>
      <c r="C140" s="37" t="s">
        <v>56</v>
      </c>
      <c r="D140" s="38"/>
      <c r="E140" s="39">
        <v>3</v>
      </c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49">
        <v>3</v>
      </c>
    </row>
    <row r="141" spans="1:16" ht="18.75" thickBot="1" x14ac:dyDescent="0.3">
      <c r="A141" s="293"/>
      <c r="B141" s="308"/>
      <c r="C141" s="37" t="s">
        <v>57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49">
        <v>0</v>
      </c>
    </row>
    <row r="142" spans="1:16" ht="18.75" thickBot="1" x14ac:dyDescent="0.3">
      <c r="A142" s="293"/>
      <c r="B142" s="308"/>
      <c r="C142" s="37" t="s">
        <v>58</v>
      </c>
      <c r="D142" s="38"/>
      <c r="E142" s="39">
        <v>3</v>
      </c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49">
        <v>3</v>
      </c>
    </row>
    <row r="143" spans="1:16" ht="18.75" thickBot="1" x14ac:dyDescent="0.3">
      <c r="A143" s="293"/>
      <c r="B143" s="308"/>
      <c r="C143" s="37" t="s">
        <v>59</v>
      </c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49">
        <v>0</v>
      </c>
    </row>
    <row r="144" spans="1:16" ht="18.75" thickBot="1" x14ac:dyDescent="0.3">
      <c r="A144" s="293"/>
      <c r="B144" s="308"/>
      <c r="C144" s="37" t="s">
        <v>60</v>
      </c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49">
        <v>0</v>
      </c>
    </row>
    <row r="145" spans="1:16" ht="18.75" thickBot="1" x14ac:dyDescent="0.3">
      <c r="A145" s="293"/>
      <c r="B145" s="308"/>
      <c r="C145" s="37" t="s">
        <v>61</v>
      </c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49">
        <v>0</v>
      </c>
    </row>
    <row r="146" spans="1:16" ht="18.75" thickBot="1" x14ac:dyDescent="0.3">
      <c r="A146" s="293"/>
      <c r="B146" s="308"/>
      <c r="C146" s="37" t="s">
        <v>62</v>
      </c>
      <c r="D146" s="38"/>
      <c r="E146" s="38"/>
      <c r="F146" s="38"/>
      <c r="G146" s="39">
        <v>1</v>
      </c>
      <c r="H146" s="39">
        <v>2</v>
      </c>
      <c r="I146" s="38"/>
      <c r="J146" s="38"/>
      <c r="K146" s="38"/>
      <c r="L146" s="39">
        <v>3</v>
      </c>
      <c r="M146" s="38"/>
      <c r="N146" s="39">
        <v>2</v>
      </c>
      <c r="O146" s="38"/>
      <c r="P146" s="49">
        <v>8</v>
      </c>
    </row>
    <row r="147" spans="1:16" ht="18.75" thickBot="1" x14ac:dyDescent="0.3">
      <c r="A147" s="293"/>
      <c r="B147" s="308"/>
      <c r="C147" s="37" t="s">
        <v>63</v>
      </c>
      <c r="D147" s="38"/>
      <c r="E147" s="39">
        <v>1</v>
      </c>
      <c r="F147" s="38"/>
      <c r="G147" s="38"/>
      <c r="H147" s="38"/>
      <c r="I147" s="38"/>
      <c r="J147" s="38"/>
      <c r="K147" s="38"/>
      <c r="L147" s="38"/>
      <c r="M147" s="38"/>
      <c r="N147" s="39">
        <v>1</v>
      </c>
      <c r="O147" s="39">
        <v>2</v>
      </c>
      <c r="P147" s="49">
        <v>4</v>
      </c>
    </row>
    <row r="148" spans="1:16" ht="27.75" thickBot="1" x14ac:dyDescent="0.3">
      <c r="A148" s="293"/>
      <c r="B148" s="308"/>
      <c r="C148" s="37" t="s">
        <v>64</v>
      </c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49">
        <v>0</v>
      </c>
    </row>
    <row r="149" spans="1:16" ht="15.75" thickBot="1" x14ac:dyDescent="0.3">
      <c r="A149" s="293"/>
      <c r="B149" s="308"/>
      <c r="C149" s="42" t="s">
        <v>65</v>
      </c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49">
        <v>0</v>
      </c>
    </row>
    <row r="150" spans="1:16" ht="15.75" thickBot="1" x14ac:dyDescent="0.3">
      <c r="A150" s="293"/>
      <c r="B150" s="308"/>
      <c r="C150" s="42" t="s">
        <v>66</v>
      </c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49">
        <v>0</v>
      </c>
    </row>
    <row r="151" spans="1:16" ht="18.75" thickBot="1" x14ac:dyDescent="0.3">
      <c r="A151" s="306"/>
      <c r="B151" s="309"/>
      <c r="C151" s="42" t="s">
        <v>67</v>
      </c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49">
        <v>0</v>
      </c>
    </row>
    <row r="152" spans="1:16" ht="15.75" thickBot="1" x14ac:dyDescent="0.3">
      <c r="A152" s="292">
        <v>13</v>
      </c>
      <c r="B152" s="314" t="s">
        <v>29</v>
      </c>
      <c r="C152" s="37" t="s">
        <v>56</v>
      </c>
      <c r="D152" s="38"/>
      <c r="E152" s="39">
        <v>1</v>
      </c>
      <c r="F152" s="38"/>
      <c r="G152" s="38"/>
      <c r="H152" s="39">
        <v>2</v>
      </c>
      <c r="I152" s="38"/>
      <c r="J152" s="38"/>
      <c r="K152" s="38"/>
      <c r="L152" s="38"/>
      <c r="M152" s="38"/>
      <c r="N152" s="38"/>
      <c r="O152" s="38"/>
      <c r="P152" s="49">
        <v>3</v>
      </c>
    </row>
    <row r="153" spans="1:16" ht="18.75" thickBot="1" x14ac:dyDescent="0.3">
      <c r="A153" s="293"/>
      <c r="B153" s="315"/>
      <c r="C153" s="37" t="s">
        <v>57</v>
      </c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49">
        <v>0</v>
      </c>
    </row>
    <row r="154" spans="1:16" ht="18.75" thickBot="1" x14ac:dyDescent="0.3">
      <c r="A154" s="293"/>
      <c r="B154" s="315"/>
      <c r="C154" s="37" t="s">
        <v>58</v>
      </c>
      <c r="D154" s="38"/>
      <c r="E154" s="38"/>
      <c r="F154" s="38"/>
      <c r="G154" s="38"/>
      <c r="H154" s="38"/>
      <c r="I154" s="38"/>
      <c r="J154" s="38"/>
      <c r="K154" s="38"/>
      <c r="L154" s="39">
        <v>1</v>
      </c>
      <c r="M154" s="38"/>
      <c r="N154" s="38"/>
      <c r="O154" s="38"/>
      <c r="P154" s="49">
        <v>1</v>
      </c>
    </row>
    <row r="155" spans="1:16" ht="18.75" thickBot="1" x14ac:dyDescent="0.3">
      <c r="A155" s="293"/>
      <c r="B155" s="315"/>
      <c r="C155" s="37" t="s">
        <v>59</v>
      </c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49">
        <v>0</v>
      </c>
    </row>
    <row r="156" spans="1:16" ht="18.75" thickBot="1" x14ac:dyDescent="0.3">
      <c r="A156" s="293"/>
      <c r="B156" s="315"/>
      <c r="C156" s="37" t="s">
        <v>60</v>
      </c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49">
        <v>0</v>
      </c>
    </row>
    <row r="157" spans="1:16" ht="18.75" thickBot="1" x14ac:dyDescent="0.3">
      <c r="A157" s="293"/>
      <c r="B157" s="315"/>
      <c r="C157" s="37" t="s">
        <v>61</v>
      </c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49">
        <v>0</v>
      </c>
    </row>
    <row r="158" spans="1:16" ht="18.75" thickBot="1" x14ac:dyDescent="0.3">
      <c r="A158" s="293"/>
      <c r="B158" s="315"/>
      <c r="C158" s="37" t="s">
        <v>62</v>
      </c>
      <c r="D158" s="44">
        <v>1</v>
      </c>
      <c r="E158" s="38"/>
      <c r="F158" s="39">
        <v>2</v>
      </c>
      <c r="G158" s="39">
        <v>1</v>
      </c>
      <c r="H158" s="39">
        <v>2</v>
      </c>
      <c r="I158" s="39">
        <v>1</v>
      </c>
      <c r="J158" s="39">
        <v>4</v>
      </c>
      <c r="K158" s="39">
        <v>3</v>
      </c>
      <c r="L158" s="39">
        <v>6</v>
      </c>
      <c r="M158" s="50">
        <v>4</v>
      </c>
      <c r="N158" s="39">
        <v>1</v>
      </c>
      <c r="O158" s="39">
        <v>3</v>
      </c>
      <c r="P158" s="49">
        <v>28</v>
      </c>
    </row>
    <row r="159" spans="1:16" ht="18.75" thickBot="1" x14ac:dyDescent="0.3">
      <c r="A159" s="293"/>
      <c r="B159" s="315"/>
      <c r="C159" s="37" t="s">
        <v>63</v>
      </c>
      <c r="D159" s="44">
        <v>5</v>
      </c>
      <c r="E159" s="38"/>
      <c r="F159" s="39">
        <v>2</v>
      </c>
      <c r="G159" s="38"/>
      <c r="H159" s="38"/>
      <c r="I159" s="38"/>
      <c r="J159" s="39">
        <v>2</v>
      </c>
      <c r="K159" s="38"/>
      <c r="L159" s="39">
        <v>2</v>
      </c>
      <c r="M159" s="50">
        <v>1</v>
      </c>
      <c r="N159" s="39">
        <v>2</v>
      </c>
      <c r="O159" s="39">
        <v>1</v>
      </c>
      <c r="P159" s="49">
        <v>15</v>
      </c>
    </row>
    <row r="160" spans="1:16" ht="27.75" thickBot="1" x14ac:dyDescent="0.3">
      <c r="A160" s="293"/>
      <c r="B160" s="315"/>
      <c r="C160" s="37" t="s">
        <v>64</v>
      </c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49">
        <v>0</v>
      </c>
    </row>
    <row r="161" spans="1:16" ht="15.75" thickBot="1" x14ac:dyDescent="0.3">
      <c r="A161" s="293"/>
      <c r="B161" s="315"/>
      <c r="C161" s="42" t="s">
        <v>65</v>
      </c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49">
        <v>0</v>
      </c>
    </row>
    <row r="162" spans="1:16" ht="15.75" thickBot="1" x14ac:dyDescent="0.3">
      <c r="A162" s="293"/>
      <c r="B162" s="315"/>
      <c r="C162" s="42" t="s">
        <v>66</v>
      </c>
      <c r="D162" s="38"/>
      <c r="E162" s="38"/>
      <c r="F162" s="38"/>
      <c r="G162" s="38"/>
      <c r="H162" s="38"/>
      <c r="I162" s="38"/>
      <c r="J162" s="38"/>
      <c r="K162" s="38"/>
      <c r="L162" s="39">
        <v>2</v>
      </c>
      <c r="M162" s="50">
        <v>1</v>
      </c>
      <c r="N162" s="38"/>
      <c r="O162" s="38"/>
      <c r="P162" s="49">
        <v>3</v>
      </c>
    </row>
    <row r="163" spans="1:16" ht="18.75" thickBot="1" x14ac:dyDescent="0.3">
      <c r="A163" s="306"/>
      <c r="B163" s="316"/>
      <c r="C163" s="42" t="s">
        <v>67</v>
      </c>
      <c r="D163" s="38"/>
      <c r="E163" s="38"/>
      <c r="F163" s="38"/>
      <c r="G163" s="38"/>
      <c r="H163" s="38"/>
      <c r="I163" s="38"/>
      <c r="J163" s="38"/>
      <c r="K163" s="38"/>
      <c r="L163" s="39">
        <v>1</v>
      </c>
      <c r="M163" s="38"/>
      <c r="N163" s="38"/>
      <c r="O163" s="38"/>
      <c r="P163" s="49">
        <v>1</v>
      </c>
    </row>
    <row r="164" spans="1:16" ht="15.75" thickBot="1" x14ac:dyDescent="0.3">
      <c r="A164" s="292">
        <v>14</v>
      </c>
      <c r="B164" s="314" t="s">
        <v>28</v>
      </c>
      <c r="C164" s="37" t="s">
        <v>56</v>
      </c>
      <c r="D164" s="44">
        <v>1</v>
      </c>
      <c r="E164" s="39">
        <v>1</v>
      </c>
      <c r="F164" s="38"/>
      <c r="G164" s="38"/>
      <c r="H164" s="38"/>
      <c r="I164" s="38"/>
      <c r="J164" s="39">
        <v>1</v>
      </c>
      <c r="K164" s="38"/>
      <c r="L164" s="38"/>
      <c r="M164" s="38"/>
      <c r="N164" s="38"/>
      <c r="O164" s="38"/>
      <c r="P164" s="49">
        <v>3</v>
      </c>
    </row>
    <row r="165" spans="1:16" ht="18.75" thickBot="1" x14ac:dyDescent="0.3">
      <c r="A165" s="293"/>
      <c r="B165" s="315"/>
      <c r="C165" s="37" t="s">
        <v>57</v>
      </c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49">
        <v>0</v>
      </c>
    </row>
    <row r="166" spans="1:16" ht="18.75" thickBot="1" x14ac:dyDescent="0.3">
      <c r="A166" s="293"/>
      <c r="B166" s="315"/>
      <c r="C166" s="37" t="s">
        <v>58</v>
      </c>
      <c r="D166" s="38"/>
      <c r="E166" s="38"/>
      <c r="F166" s="38"/>
      <c r="G166" s="38"/>
      <c r="H166" s="38"/>
      <c r="I166" s="38"/>
      <c r="J166" s="39">
        <v>1</v>
      </c>
      <c r="K166" s="39">
        <v>1</v>
      </c>
      <c r="L166" s="38"/>
      <c r="M166" s="38"/>
      <c r="N166" s="38"/>
      <c r="O166" s="38"/>
      <c r="P166" s="49">
        <v>2</v>
      </c>
    </row>
    <row r="167" spans="1:16" ht="18.75" thickBot="1" x14ac:dyDescent="0.3">
      <c r="A167" s="293"/>
      <c r="B167" s="315"/>
      <c r="C167" s="37" t="s">
        <v>59</v>
      </c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49">
        <v>0</v>
      </c>
    </row>
    <row r="168" spans="1:16" ht="18.75" thickBot="1" x14ac:dyDescent="0.3">
      <c r="A168" s="293"/>
      <c r="B168" s="315"/>
      <c r="C168" s="37" t="s">
        <v>60</v>
      </c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49">
        <v>0</v>
      </c>
    </row>
    <row r="169" spans="1:16" ht="18.75" thickBot="1" x14ac:dyDescent="0.3">
      <c r="A169" s="293"/>
      <c r="B169" s="315"/>
      <c r="C169" s="37" t="s">
        <v>61</v>
      </c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49">
        <v>0</v>
      </c>
    </row>
    <row r="170" spans="1:16" ht="18.75" thickBot="1" x14ac:dyDescent="0.3">
      <c r="A170" s="293"/>
      <c r="B170" s="315"/>
      <c r="C170" s="37" t="s">
        <v>62</v>
      </c>
      <c r="D170" s="44">
        <v>2</v>
      </c>
      <c r="E170" s="38"/>
      <c r="F170" s="38"/>
      <c r="G170" s="39">
        <v>3</v>
      </c>
      <c r="H170" s="39">
        <v>1</v>
      </c>
      <c r="I170" s="38"/>
      <c r="J170" s="39">
        <v>2</v>
      </c>
      <c r="K170" s="39">
        <v>1</v>
      </c>
      <c r="L170" s="39">
        <v>3</v>
      </c>
      <c r="M170" s="50">
        <v>2</v>
      </c>
      <c r="N170" s="39">
        <v>1</v>
      </c>
      <c r="O170" s="39">
        <v>1</v>
      </c>
      <c r="P170" s="49">
        <v>16</v>
      </c>
    </row>
    <row r="171" spans="1:16" ht="18.75" thickBot="1" x14ac:dyDescent="0.3">
      <c r="A171" s="293"/>
      <c r="B171" s="315"/>
      <c r="C171" s="37" t="s">
        <v>63</v>
      </c>
      <c r="D171" s="44">
        <v>1</v>
      </c>
      <c r="E171" s="39">
        <v>1</v>
      </c>
      <c r="F171" s="39">
        <v>1</v>
      </c>
      <c r="G171" s="38"/>
      <c r="H171" s="38"/>
      <c r="I171" s="39">
        <v>1</v>
      </c>
      <c r="J171" s="39">
        <v>1</v>
      </c>
      <c r="K171" s="39">
        <v>1</v>
      </c>
      <c r="L171" s="39">
        <v>3</v>
      </c>
      <c r="M171" s="50">
        <v>2</v>
      </c>
      <c r="N171" s="38"/>
      <c r="O171" s="38"/>
      <c r="P171" s="49">
        <v>11</v>
      </c>
    </row>
    <row r="172" spans="1:16" ht="27.75" thickBot="1" x14ac:dyDescent="0.3">
      <c r="A172" s="293"/>
      <c r="B172" s="315"/>
      <c r="C172" s="37" t="s">
        <v>64</v>
      </c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49">
        <v>0</v>
      </c>
    </row>
    <row r="173" spans="1:16" ht="15.75" thickBot="1" x14ac:dyDescent="0.3">
      <c r="A173" s="293"/>
      <c r="B173" s="315"/>
      <c r="C173" s="42" t="s">
        <v>65</v>
      </c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49">
        <v>0</v>
      </c>
    </row>
    <row r="174" spans="1:16" ht="15.75" thickBot="1" x14ac:dyDescent="0.3">
      <c r="A174" s="304"/>
      <c r="B174" s="304"/>
      <c r="C174" s="51" t="s">
        <v>66</v>
      </c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8">
        <v>0</v>
      </c>
    </row>
    <row r="175" spans="1:16" ht="18.75" thickBot="1" x14ac:dyDescent="0.3">
      <c r="A175" s="305"/>
      <c r="B175" s="305"/>
      <c r="C175" s="42" t="s">
        <v>67</v>
      </c>
      <c r="D175" s="38"/>
      <c r="E175" s="38"/>
      <c r="F175" s="38"/>
      <c r="G175" s="38"/>
      <c r="H175" s="38"/>
      <c r="I175" s="38"/>
      <c r="J175" s="38"/>
      <c r="K175" s="38"/>
      <c r="L175" s="38"/>
      <c r="M175" s="39">
        <v>4</v>
      </c>
      <c r="N175" s="38"/>
      <c r="O175" s="38"/>
      <c r="P175" s="49">
        <v>4</v>
      </c>
    </row>
    <row r="176" spans="1:16" ht="15.75" thickBot="1" x14ac:dyDescent="0.3">
      <c r="A176" s="292">
        <v>15</v>
      </c>
      <c r="B176" s="307" t="s">
        <v>30</v>
      </c>
      <c r="C176" s="37" t="s">
        <v>56</v>
      </c>
      <c r="D176" s="38"/>
      <c r="E176" s="38"/>
      <c r="F176" s="39">
        <v>2</v>
      </c>
      <c r="G176" s="38"/>
      <c r="H176" s="38"/>
      <c r="I176" s="38"/>
      <c r="J176" s="39">
        <v>3</v>
      </c>
      <c r="K176" s="38"/>
      <c r="L176" s="38"/>
      <c r="M176" s="38"/>
      <c r="N176" s="38"/>
      <c r="O176" s="38"/>
      <c r="P176" s="49">
        <v>5</v>
      </c>
    </row>
    <row r="177" spans="1:16" ht="18.75" thickBot="1" x14ac:dyDescent="0.3">
      <c r="A177" s="293"/>
      <c r="B177" s="308"/>
      <c r="C177" s="37" t="s">
        <v>57</v>
      </c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49">
        <v>0</v>
      </c>
    </row>
    <row r="178" spans="1:16" ht="18.75" thickBot="1" x14ac:dyDescent="0.3">
      <c r="A178" s="293"/>
      <c r="B178" s="308"/>
      <c r="C178" s="37" t="s">
        <v>58</v>
      </c>
      <c r="D178" s="38"/>
      <c r="E178" s="38"/>
      <c r="F178" s="39">
        <v>3</v>
      </c>
      <c r="G178" s="39">
        <v>1</v>
      </c>
      <c r="H178" s="39">
        <v>1</v>
      </c>
      <c r="I178" s="38"/>
      <c r="J178" s="39">
        <v>1</v>
      </c>
      <c r="K178" s="38"/>
      <c r="L178" s="38"/>
      <c r="M178" s="38"/>
      <c r="N178" s="38"/>
      <c r="O178" s="38"/>
      <c r="P178" s="49">
        <v>6</v>
      </c>
    </row>
    <row r="179" spans="1:16" ht="18.75" thickBot="1" x14ac:dyDescent="0.3">
      <c r="A179" s="293"/>
      <c r="B179" s="308"/>
      <c r="C179" s="37" t="s">
        <v>59</v>
      </c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49">
        <v>0</v>
      </c>
    </row>
    <row r="180" spans="1:16" ht="18.75" thickBot="1" x14ac:dyDescent="0.3">
      <c r="A180" s="293"/>
      <c r="B180" s="308"/>
      <c r="C180" s="37" t="s">
        <v>60</v>
      </c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49">
        <v>0</v>
      </c>
    </row>
    <row r="181" spans="1:16" ht="18.75" thickBot="1" x14ac:dyDescent="0.3">
      <c r="A181" s="293"/>
      <c r="B181" s="308"/>
      <c r="C181" s="37" t="s">
        <v>61</v>
      </c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49">
        <v>0</v>
      </c>
    </row>
    <row r="182" spans="1:16" ht="18.75" thickBot="1" x14ac:dyDescent="0.3">
      <c r="A182" s="293"/>
      <c r="B182" s="308"/>
      <c r="C182" s="37" t="s">
        <v>62</v>
      </c>
      <c r="D182" s="38"/>
      <c r="E182" s="39">
        <v>1</v>
      </c>
      <c r="F182" s="39">
        <v>1</v>
      </c>
      <c r="G182" s="38"/>
      <c r="H182" s="39">
        <v>2</v>
      </c>
      <c r="I182" s="39">
        <v>1</v>
      </c>
      <c r="J182" s="39">
        <v>4</v>
      </c>
      <c r="K182" s="38"/>
      <c r="L182" s="44">
        <v>2</v>
      </c>
      <c r="M182" s="39">
        <v>3</v>
      </c>
      <c r="N182" s="39">
        <v>1</v>
      </c>
      <c r="O182" s="38"/>
      <c r="P182" s="49">
        <v>15</v>
      </c>
    </row>
    <row r="183" spans="1:16" ht="18.75" thickBot="1" x14ac:dyDescent="0.3">
      <c r="A183" s="293"/>
      <c r="B183" s="308"/>
      <c r="C183" s="37" t="s">
        <v>63</v>
      </c>
      <c r="D183" s="44">
        <v>1</v>
      </c>
      <c r="E183" s="39">
        <v>2</v>
      </c>
      <c r="F183" s="38"/>
      <c r="G183" s="39">
        <v>1</v>
      </c>
      <c r="H183" s="38"/>
      <c r="I183" s="38"/>
      <c r="J183" s="39">
        <v>4</v>
      </c>
      <c r="K183" s="38"/>
      <c r="L183" s="44">
        <v>1</v>
      </c>
      <c r="M183" s="39">
        <v>1</v>
      </c>
      <c r="N183" s="38"/>
      <c r="O183" s="38"/>
      <c r="P183" s="49">
        <v>10</v>
      </c>
    </row>
    <row r="184" spans="1:16" ht="27.75" thickBot="1" x14ac:dyDescent="0.3">
      <c r="A184" s="293"/>
      <c r="B184" s="308"/>
      <c r="C184" s="37" t="s">
        <v>64</v>
      </c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49">
        <v>0</v>
      </c>
    </row>
    <row r="185" spans="1:16" ht="15.75" thickBot="1" x14ac:dyDescent="0.3">
      <c r="A185" s="293"/>
      <c r="B185" s="308"/>
      <c r="C185" s="42" t="s">
        <v>65</v>
      </c>
      <c r="D185" s="38"/>
      <c r="E185" s="38"/>
      <c r="F185" s="38"/>
      <c r="G185" s="38"/>
      <c r="H185" s="38"/>
      <c r="I185" s="38"/>
      <c r="J185" s="39">
        <v>1</v>
      </c>
      <c r="K185" s="38"/>
      <c r="L185" s="38"/>
      <c r="M185" s="38"/>
      <c r="N185" s="39">
        <v>1</v>
      </c>
      <c r="O185" s="38"/>
      <c r="P185" s="49">
        <v>2</v>
      </c>
    </row>
    <row r="186" spans="1:16" ht="15.75" thickBot="1" x14ac:dyDescent="0.3">
      <c r="A186" s="293"/>
      <c r="B186" s="308"/>
      <c r="C186" s="42" t="s">
        <v>66</v>
      </c>
      <c r="D186" s="38"/>
      <c r="E186" s="38"/>
      <c r="F186" s="38"/>
      <c r="G186" s="38"/>
      <c r="H186" s="38"/>
      <c r="I186" s="38"/>
      <c r="J186" s="38"/>
      <c r="K186" s="38"/>
      <c r="L186" s="44">
        <v>3</v>
      </c>
      <c r="M186" s="38"/>
      <c r="N186" s="38"/>
      <c r="O186" s="38"/>
      <c r="P186" s="49">
        <v>3</v>
      </c>
    </row>
    <row r="187" spans="1:16" ht="18.75" thickBot="1" x14ac:dyDescent="0.3">
      <c r="A187" s="306"/>
      <c r="B187" s="309"/>
      <c r="C187" s="42" t="s">
        <v>67</v>
      </c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49">
        <v>0</v>
      </c>
    </row>
    <row r="188" spans="1:16" ht="15.75" thickBot="1" x14ac:dyDescent="0.3">
      <c r="A188" s="292">
        <v>16</v>
      </c>
      <c r="B188" s="295" t="s">
        <v>33</v>
      </c>
      <c r="C188" s="37" t="s">
        <v>56</v>
      </c>
      <c r="D188" s="38"/>
      <c r="E188" s="39">
        <v>3</v>
      </c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49">
        <v>3</v>
      </c>
    </row>
    <row r="189" spans="1:16" ht="18.75" thickBot="1" x14ac:dyDescent="0.3">
      <c r="A189" s="293"/>
      <c r="B189" s="296"/>
      <c r="C189" s="37" t="s">
        <v>57</v>
      </c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49">
        <v>0</v>
      </c>
    </row>
    <row r="190" spans="1:16" ht="18.75" thickBot="1" x14ac:dyDescent="0.3">
      <c r="A190" s="293"/>
      <c r="B190" s="296"/>
      <c r="C190" s="37" t="s">
        <v>58</v>
      </c>
      <c r="D190" s="38"/>
      <c r="E190" s="39">
        <v>1</v>
      </c>
      <c r="F190" s="39">
        <v>1</v>
      </c>
      <c r="G190" s="39">
        <v>3</v>
      </c>
      <c r="H190" s="39">
        <v>1</v>
      </c>
      <c r="I190" s="39">
        <v>1</v>
      </c>
      <c r="J190" s="38"/>
      <c r="K190" s="39">
        <v>1</v>
      </c>
      <c r="L190" s="38"/>
      <c r="M190" s="38"/>
      <c r="N190" s="38"/>
      <c r="O190" s="38"/>
      <c r="P190" s="49">
        <v>8</v>
      </c>
    </row>
    <row r="191" spans="1:16" ht="18.75" thickBot="1" x14ac:dyDescent="0.3">
      <c r="A191" s="293"/>
      <c r="B191" s="296"/>
      <c r="C191" s="37" t="s">
        <v>59</v>
      </c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9">
        <v>2</v>
      </c>
      <c r="P191" s="49">
        <v>2</v>
      </c>
    </row>
    <row r="192" spans="1:16" ht="18.75" thickBot="1" x14ac:dyDescent="0.3">
      <c r="A192" s="293"/>
      <c r="B192" s="296"/>
      <c r="C192" s="37" t="s">
        <v>60</v>
      </c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49">
        <v>0</v>
      </c>
    </row>
    <row r="193" spans="1:16" ht="18.75" thickBot="1" x14ac:dyDescent="0.3">
      <c r="A193" s="293"/>
      <c r="B193" s="296"/>
      <c r="C193" s="37" t="s">
        <v>61</v>
      </c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49">
        <v>0</v>
      </c>
    </row>
    <row r="194" spans="1:16" ht="18.75" thickBot="1" x14ac:dyDescent="0.3">
      <c r="A194" s="293"/>
      <c r="B194" s="296"/>
      <c r="C194" s="37" t="s">
        <v>62</v>
      </c>
      <c r="D194" s="44">
        <v>1</v>
      </c>
      <c r="E194" s="39">
        <v>1</v>
      </c>
      <c r="F194" s="39">
        <v>2</v>
      </c>
      <c r="G194" s="38"/>
      <c r="H194" s="38"/>
      <c r="I194" s="39">
        <v>2</v>
      </c>
      <c r="J194" s="38"/>
      <c r="K194" s="39">
        <v>1</v>
      </c>
      <c r="L194" s="44">
        <v>1</v>
      </c>
      <c r="M194" s="39">
        <v>4</v>
      </c>
      <c r="N194" s="38"/>
      <c r="O194" s="38"/>
      <c r="P194" s="49">
        <v>12</v>
      </c>
    </row>
    <row r="195" spans="1:16" ht="18.75" thickBot="1" x14ac:dyDescent="0.3">
      <c r="A195" s="293"/>
      <c r="B195" s="296"/>
      <c r="C195" s="37" t="s">
        <v>63</v>
      </c>
      <c r="D195" s="44">
        <v>2</v>
      </c>
      <c r="E195" s="39">
        <v>1</v>
      </c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49">
        <v>3</v>
      </c>
    </row>
    <row r="196" spans="1:16" ht="27.75" thickBot="1" x14ac:dyDescent="0.3">
      <c r="A196" s="293"/>
      <c r="B196" s="296"/>
      <c r="C196" s="37" t="s">
        <v>64</v>
      </c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49">
        <v>0</v>
      </c>
    </row>
    <row r="197" spans="1:16" ht="15.75" thickBot="1" x14ac:dyDescent="0.3">
      <c r="A197" s="293"/>
      <c r="B197" s="296"/>
      <c r="C197" s="42" t="s">
        <v>65</v>
      </c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49">
        <v>0</v>
      </c>
    </row>
    <row r="198" spans="1:16" ht="15.75" thickBot="1" x14ac:dyDescent="0.3">
      <c r="A198" s="293"/>
      <c r="B198" s="296"/>
      <c r="C198" s="42" t="s">
        <v>66</v>
      </c>
      <c r="D198" s="38"/>
      <c r="E198" s="38"/>
      <c r="F198" s="38"/>
      <c r="G198" s="38"/>
      <c r="H198" s="38"/>
      <c r="I198" s="38"/>
      <c r="J198" s="38"/>
      <c r="K198" s="38"/>
      <c r="L198" s="44">
        <v>6</v>
      </c>
      <c r="M198" s="39">
        <v>5</v>
      </c>
      <c r="N198" s="39">
        <v>3</v>
      </c>
      <c r="O198" s="38"/>
      <c r="P198" s="49">
        <v>14</v>
      </c>
    </row>
    <row r="199" spans="1:16" ht="18.75" thickBot="1" x14ac:dyDescent="0.3">
      <c r="A199" s="306"/>
      <c r="B199" s="310"/>
      <c r="C199" s="42" t="s">
        <v>67</v>
      </c>
      <c r="D199" s="38"/>
      <c r="E199" s="38"/>
      <c r="F199" s="38"/>
      <c r="G199" s="38"/>
      <c r="H199" s="38"/>
      <c r="I199" s="38"/>
      <c r="J199" s="38"/>
      <c r="K199" s="38"/>
      <c r="L199" s="44">
        <v>2</v>
      </c>
      <c r="M199" s="39">
        <v>1</v>
      </c>
      <c r="N199" s="39">
        <v>1</v>
      </c>
      <c r="O199" s="38"/>
      <c r="P199" s="49">
        <v>4</v>
      </c>
    </row>
    <row r="200" spans="1:16" ht="15.75" thickBot="1" x14ac:dyDescent="0.3">
      <c r="A200" s="292">
        <v>17</v>
      </c>
      <c r="B200" s="314" t="s">
        <v>36</v>
      </c>
      <c r="C200" s="37" t="s">
        <v>56</v>
      </c>
      <c r="D200" s="44">
        <v>1</v>
      </c>
      <c r="E200" s="38"/>
      <c r="F200" s="38"/>
      <c r="G200" s="39">
        <v>2</v>
      </c>
      <c r="H200" s="39">
        <v>1</v>
      </c>
      <c r="I200" s="38"/>
      <c r="J200" s="39">
        <v>1</v>
      </c>
      <c r="K200" s="38"/>
      <c r="L200" s="38"/>
      <c r="M200" s="38"/>
      <c r="N200" s="38"/>
      <c r="O200" s="38"/>
      <c r="P200" s="49">
        <v>5</v>
      </c>
    </row>
    <row r="201" spans="1:16" ht="18.75" thickBot="1" x14ac:dyDescent="0.3">
      <c r="A201" s="293"/>
      <c r="B201" s="315"/>
      <c r="C201" s="37" t="s">
        <v>57</v>
      </c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49">
        <v>0</v>
      </c>
    </row>
    <row r="202" spans="1:16" ht="18.75" thickBot="1" x14ac:dyDescent="0.3">
      <c r="A202" s="293"/>
      <c r="B202" s="315"/>
      <c r="C202" s="37" t="s">
        <v>58</v>
      </c>
      <c r="D202" s="38"/>
      <c r="E202" s="38"/>
      <c r="F202" s="38"/>
      <c r="G202" s="39">
        <v>2</v>
      </c>
      <c r="H202" s="39">
        <v>1</v>
      </c>
      <c r="I202" s="38"/>
      <c r="J202" s="38"/>
      <c r="K202" s="38"/>
      <c r="L202" s="38"/>
      <c r="M202" s="38"/>
      <c r="N202" s="38"/>
      <c r="O202" s="38"/>
      <c r="P202" s="49">
        <v>3</v>
      </c>
    </row>
    <row r="203" spans="1:16" ht="18.75" thickBot="1" x14ac:dyDescent="0.3">
      <c r="A203" s="293"/>
      <c r="B203" s="315"/>
      <c r="C203" s="37" t="s">
        <v>59</v>
      </c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49">
        <v>0</v>
      </c>
    </row>
    <row r="204" spans="1:16" ht="18.75" thickBot="1" x14ac:dyDescent="0.3">
      <c r="A204" s="293"/>
      <c r="B204" s="315"/>
      <c r="C204" s="37" t="s">
        <v>60</v>
      </c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49">
        <v>0</v>
      </c>
    </row>
    <row r="205" spans="1:16" ht="18.75" thickBot="1" x14ac:dyDescent="0.3">
      <c r="A205" s="293"/>
      <c r="B205" s="315"/>
      <c r="C205" s="37" t="s">
        <v>61</v>
      </c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49">
        <v>0</v>
      </c>
    </row>
    <row r="206" spans="1:16" ht="18.75" thickBot="1" x14ac:dyDescent="0.3">
      <c r="A206" s="293"/>
      <c r="B206" s="315"/>
      <c r="C206" s="37" t="s">
        <v>62</v>
      </c>
      <c r="D206" s="38"/>
      <c r="E206" s="39">
        <v>1</v>
      </c>
      <c r="F206" s="38"/>
      <c r="G206" s="39">
        <v>1</v>
      </c>
      <c r="H206" s="38"/>
      <c r="I206" s="39">
        <v>1</v>
      </c>
      <c r="J206" s="38"/>
      <c r="K206" s="39">
        <v>1</v>
      </c>
      <c r="L206" s="38"/>
      <c r="M206" s="39">
        <v>3</v>
      </c>
      <c r="N206" s="38"/>
      <c r="O206" s="38"/>
      <c r="P206" s="49">
        <v>7</v>
      </c>
    </row>
    <row r="207" spans="1:16" ht="18.75" thickBot="1" x14ac:dyDescent="0.3">
      <c r="A207" s="293"/>
      <c r="B207" s="315"/>
      <c r="C207" s="37" t="s">
        <v>63</v>
      </c>
      <c r="D207" s="38"/>
      <c r="E207" s="39">
        <v>1</v>
      </c>
      <c r="F207" s="38"/>
      <c r="G207" s="38"/>
      <c r="H207" s="38"/>
      <c r="I207" s="38"/>
      <c r="J207" s="38"/>
      <c r="K207" s="38"/>
      <c r="L207" s="38"/>
      <c r="M207" s="38"/>
      <c r="N207" s="38"/>
      <c r="O207" s="39">
        <v>1</v>
      </c>
      <c r="P207" s="49">
        <v>2</v>
      </c>
    </row>
    <row r="208" spans="1:16" ht="27.75" thickBot="1" x14ac:dyDescent="0.3">
      <c r="A208" s="293"/>
      <c r="B208" s="315"/>
      <c r="C208" s="37" t="s">
        <v>64</v>
      </c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49">
        <v>0</v>
      </c>
    </row>
    <row r="209" spans="1:16" ht="15.75" thickBot="1" x14ac:dyDescent="0.3">
      <c r="A209" s="293"/>
      <c r="B209" s="315"/>
      <c r="C209" s="42" t="s">
        <v>65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49">
        <v>0</v>
      </c>
    </row>
    <row r="210" spans="1:16" ht="15.75" thickBot="1" x14ac:dyDescent="0.3">
      <c r="A210" s="293"/>
      <c r="B210" s="315"/>
      <c r="C210" s="42" t="s">
        <v>66</v>
      </c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49">
        <v>0</v>
      </c>
    </row>
    <row r="211" spans="1:16" ht="18.75" thickBot="1" x14ac:dyDescent="0.3">
      <c r="A211" s="306"/>
      <c r="B211" s="316"/>
      <c r="C211" s="42" t="s">
        <v>67</v>
      </c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49">
        <v>0</v>
      </c>
    </row>
    <row r="212" spans="1:16" ht="15.75" thickBot="1" x14ac:dyDescent="0.3">
      <c r="A212" s="292">
        <v>18</v>
      </c>
      <c r="B212" s="295" t="s">
        <v>34</v>
      </c>
      <c r="C212" s="37" t="s">
        <v>56</v>
      </c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49">
        <v>0</v>
      </c>
    </row>
    <row r="213" spans="1:16" ht="18.75" thickBot="1" x14ac:dyDescent="0.3">
      <c r="A213" s="293"/>
      <c r="B213" s="296"/>
      <c r="C213" s="37" t="s">
        <v>57</v>
      </c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49">
        <v>0</v>
      </c>
    </row>
    <row r="214" spans="1:16" ht="18.75" thickBot="1" x14ac:dyDescent="0.3">
      <c r="A214" s="293"/>
      <c r="B214" s="296"/>
      <c r="C214" s="37" t="s">
        <v>58</v>
      </c>
      <c r="D214" s="38"/>
      <c r="E214" s="39">
        <v>2</v>
      </c>
      <c r="F214" s="39">
        <v>3</v>
      </c>
      <c r="G214" s="39">
        <v>2</v>
      </c>
      <c r="H214" s="38"/>
      <c r="I214" s="38"/>
      <c r="J214" s="38"/>
      <c r="K214" s="38"/>
      <c r="L214" s="38"/>
      <c r="M214" s="38"/>
      <c r="N214" s="38"/>
      <c r="O214" s="38"/>
      <c r="P214" s="49">
        <v>7</v>
      </c>
    </row>
    <row r="215" spans="1:16" ht="18.75" thickBot="1" x14ac:dyDescent="0.3">
      <c r="A215" s="293"/>
      <c r="B215" s="296"/>
      <c r="C215" s="37" t="s">
        <v>59</v>
      </c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49">
        <v>0</v>
      </c>
    </row>
    <row r="216" spans="1:16" ht="18.75" thickBot="1" x14ac:dyDescent="0.3">
      <c r="A216" s="293"/>
      <c r="B216" s="296"/>
      <c r="C216" s="37" t="s">
        <v>60</v>
      </c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49">
        <v>0</v>
      </c>
    </row>
    <row r="217" spans="1:16" ht="18.75" thickBot="1" x14ac:dyDescent="0.3">
      <c r="A217" s="293"/>
      <c r="B217" s="296"/>
      <c r="C217" s="37" t="s">
        <v>61</v>
      </c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49">
        <v>0</v>
      </c>
    </row>
    <row r="218" spans="1:16" ht="18.75" thickBot="1" x14ac:dyDescent="0.3">
      <c r="A218" s="293"/>
      <c r="B218" s="296"/>
      <c r="C218" s="37" t="s">
        <v>62</v>
      </c>
      <c r="D218" s="44">
        <v>1</v>
      </c>
      <c r="E218" s="39">
        <v>1</v>
      </c>
      <c r="F218" s="38"/>
      <c r="G218" s="38"/>
      <c r="H218" s="38"/>
      <c r="I218" s="38"/>
      <c r="J218" s="38"/>
      <c r="K218" s="39">
        <v>1</v>
      </c>
      <c r="L218" s="38"/>
      <c r="M218" s="39">
        <v>2</v>
      </c>
      <c r="N218" s="38"/>
      <c r="O218" s="38"/>
      <c r="P218" s="49">
        <v>5</v>
      </c>
    </row>
    <row r="219" spans="1:16" ht="18.75" thickBot="1" x14ac:dyDescent="0.3">
      <c r="A219" s="293"/>
      <c r="B219" s="296"/>
      <c r="C219" s="37" t="s">
        <v>63</v>
      </c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9">
        <v>1</v>
      </c>
      <c r="P219" s="49">
        <v>1</v>
      </c>
    </row>
    <row r="220" spans="1:16" ht="27.75" thickBot="1" x14ac:dyDescent="0.3">
      <c r="A220" s="293"/>
      <c r="B220" s="296"/>
      <c r="C220" s="37" t="s">
        <v>64</v>
      </c>
      <c r="D220" s="38"/>
      <c r="E220" s="38"/>
      <c r="F220" s="39">
        <v>2</v>
      </c>
      <c r="G220" s="39">
        <v>3</v>
      </c>
      <c r="H220" s="38"/>
      <c r="I220" s="38"/>
      <c r="J220" s="38"/>
      <c r="K220" s="38"/>
      <c r="L220" s="44">
        <v>1</v>
      </c>
      <c r="M220" s="39">
        <v>1</v>
      </c>
      <c r="N220" s="38"/>
      <c r="O220" s="38"/>
      <c r="P220" s="49">
        <v>7</v>
      </c>
    </row>
    <row r="221" spans="1:16" ht="15.75" thickBot="1" x14ac:dyDescent="0.3">
      <c r="A221" s="293"/>
      <c r="B221" s="296"/>
      <c r="C221" s="42" t="s">
        <v>65</v>
      </c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49">
        <v>0</v>
      </c>
    </row>
    <row r="222" spans="1:16" ht="15.75" thickBot="1" x14ac:dyDescent="0.3">
      <c r="A222" s="293"/>
      <c r="B222" s="296"/>
      <c r="C222" s="42" t="s">
        <v>66</v>
      </c>
      <c r="D222" s="38"/>
      <c r="E222" s="38"/>
      <c r="F222" s="38"/>
      <c r="G222" s="38"/>
      <c r="H222" s="38"/>
      <c r="I222" s="38"/>
      <c r="J222" s="38"/>
      <c r="K222" s="38"/>
      <c r="L222" s="44">
        <v>1</v>
      </c>
      <c r="M222" s="39">
        <v>2</v>
      </c>
      <c r="N222" s="38"/>
      <c r="O222" s="38"/>
      <c r="P222" s="49">
        <v>3</v>
      </c>
    </row>
    <row r="223" spans="1:16" ht="18.75" thickBot="1" x14ac:dyDescent="0.3">
      <c r="A223" s="306"/>
      <c r="B223" s="310"/>
      <c r="C223" s="42" t="s">
        <v>67</v>
      </c>
      <c r="D223" s="38"/>
      <c r="E223" s="38"/>
      <c r="F223" s="38"/>
      <c r="G223" s="38"/>
      <c r="H223" s="38"/>
      <c r="I223" s="38"/>
      <c r="J223" s="38"/>
      <c r="K223" s="38"/>
      <c r="L223" s="44">
        <v>1</v>
      </c>
      <c r="M223" s="38"/>
      <c r="N223" s="38"/>
      <c r="O223" s="38"/>
      <c r="P223" s="49">
        <v>1</v>
      </c>
    </row>
    <row r="224" spans="1:16" ht="15.75" thickBot="1" x14ac:dyDescent="0.3">
      <c r="A224" s="292">
        <v>19</v>
      </c>
      <c r="B224" s="295" t="s">
        <v>38</v>
      </c>
      <c r="C224" s="37" t="s">
        <v>56</v>
      </c>
      <c r="D224" s="44">
        <v>1</v>
      </c>
      <c r="E224" s="39">
        <v>1</v>
      </c>
      <c r="F224" s="39">
        <v>5</v>
      </c>
      <c r="G224" s="39">
        <v>1</v>
      </c>
      <c r="H224" s="39">
        <v>2</v>
      </c>
      <c r="I224" s="38"/>
      <c r="J224" s="38"/>
      <c r="K224" s="38"/>
      <c r="L224" s="44">
        <v>1</v>
      </c>
      <c r="M224" s="39">
        <v>1</v>
      </c>
      <c r="N224" s="38"/>
      <c r="O224" s="38"/>
      <c r="P224" s="49">
        <v>12</v>
      </c>
    </row>
    <row r="225" spans="1:16" ht="18.75" thickBot="1" x14ac:dyDescent="0.3">
      <c r="A225" s="293"/>
      <c r="B225" s="296"/>
      <c r="C225" s="37" t="s">
        <v>57</v>
      </c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49">
        <v>0</v>
      </c>
    </row>
    <row r="226" spans="1:16" ht="18.75" thickBot="1" x14ac:dyDescent="0.3">
      <c r="A226" s="293"/>
      <c r="B226" s="296"/>
      <c r="C226" s="37" t="s">
        <v>58</v>
      </c>
      <c r="D226" s="38"/>
      <c r="E226" s="38"/>
      <c r="F226" s="39">
        <v>2</v>
      </c>
      <c r="G226" s="38"/>
      <c r="H226" s="38"/>
      <c r="I226" s="38"/>
      <c r="J226" s="38"/>
      <c r="K226" s="38"/>
      <c r="L226" s="38"/>
      <c r="M226" s="38"/>
      <c r="N226" s="38"/>
      <c r="O226" s="38"/>
      <c r="P226" s="49">
        <v>2</v>
      </c>
    </row>
    <row r="227" spans="1:16" ht="18.75" thickBot="1" x14ac:dyDescent="0.3">
      <c r="A227" s="293"/>
      <c r="B227" s="296"/>
      <c r="C227" s="37" t="s">
        <v>59</v>
      </c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49">
        <v>0</v>
      </c>
    </row>
    <row r="228" spans="1:16" ht="18.75" thickBot="1" x14ac:dyDescent="0.3">
      <c r="A228" s="293"/>
      <c r="B228" s="296"/>
      <c r="C228" s="37" t="s">
        <v>60</v>
      </c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49">
        <v>0</v>
      </c>
    </row>
    <row r="229" spans="1:16" ht="18.75" thickBot="1" x14ac:dyDescent="0.3">
      <c r="A229" s="293"/>
      <c r="B229" s="296"/>
      <c r="C229" s="37" t="s">
        <v>61</v>
      </c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49">
        <v>0</v>
      </c>
    </row>
    <row r="230" spans="1:16" ht="18.75" thickBot="1" x14ac:dyDescent="0.3">
      <c r="A230" s="293"/>
      <c r="B230" s="296"/>
      <c r="C230" s="37" t="s">
        <v>62</v>
      </c>
      <c r="D230" s="44">
        <v>3</v>
      </c>
      <c r="E230" s="38"/>
      <c r="F230" s="39">
        <v>1</v>
      </c>
      <c r="G230" s="38"/>
      <c r="H230" s="38"/>
      <c r="I230" s="39">
        <v>1</v>
      </c>
      <c r="J230" s="38"/>
      <c r="K230" s="38"/>
      <c r="L230" s="44">
        <v>1</v>
      </c>
      <c r="M230" s="39">
        <v>3</v>
      </c>
      <c r="N230" s="39">
        <v>2</v>
      </c>
      <c r="O230" s="39">
        <v>1</v>
      </c>
      <c r="P230" s="49">
        <v>12</v>
      </c>
    </row>
    <row r="231" spans="1:16" ht="18.75" thickBot="1" x14ac:dyDescent="0.3">
      <c r="A231" s="293"/>
      <c r="B231" s="296"/>
      <c r="C231" s="37" t="s">
        <v>63</v>
      </c>
      <c r="D231" s="44">
        <v>1</v>
      </c>
      <c r="E231" s="38"/>
      <c r="F231" s="38"/>
      <c r="G231" s="39">
        <v>1</v>
      </c>
      <c r="H231" s="38"/>
      <c r="I231" s="38"/>
      <c r="J231" s="38"/>
      <c r="K231" s="38"/>
      <c r="L231" s="38"/>
      <c r="M231" s="38"/>
      <c r="N231" s="38"/>
      <c r="O231" s="39">
        <v>1</v>
      </c>
      <c r="P231" s="49">
        <v>3</v>
      </c>
    </row>
    <row r="232" spans="1:16" ht="27.75" thickBot="1" x14ac:dyDescent="0.3">
      <c r="A232" s="293"/>
      <c r="B232" s="296"/>
      <c r="C232" s="37" t="s">
        <v>64</v>
      </c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49">
        <v>0</v>
      </c>
    </row>
    <row r="233" spans="1:16" ht="15.75" thickBot="1" x14ac:dyDescent="0.3">
      <c r="A233" s="293"/>
      <c r="B233" s="296"/>
      <c r="C233" s="42" t="s">
        <v>65</v>
      </c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49">
        <v>0</v>
      </c>
    </row>
    <row r="234" spans="1:16" ht="15.75" thickBot="1" x14ac:dyDescent="0.3">
      <c r="A234" s="293"/>
      <c r="B234" s="296"/>
      <c r="C234" s="42" t="s">
        <v>66</v>
      </c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49">
        <v>0</v>
      </c>
    </row>
    <row r="235" spans="1:16" ht="18.75" thickBot="1" x14ac:dyDescent="0.3">
      <c r="A235" s="306"/>
      <c r="B235" s="310"/>
      <c r="C235" s="42" t="s">
        <v>67</v>
      </c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49">
        <v>0</v>
      </c>
    </row>
    <row r="236" spans="1:16" ht="15.75" thickBot="1" x14ac:dyDescent="0.3">
      <c r="A236" s="292">
        <v>20</v>
      </c>
      <c r="B236" s="311" t="s">
        <v>35</v>
      </c>
      <c r="C236" s="37" t="s">
        <v>56</v>
      </c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49">
        <v>0</v>
      </c>
    </row>
    <row r="237" spans="1:16" ht="18.75" thickBot="1" x14ac:dyDescent="0.3">
      <c r="A237" s="293"/>
      <c r="B237" s="312"/>
      <c r="C237" s="37" t="s">
        <v>57</v>
      </c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49">
        <v>0</v>
      </c>
    </row>
    <row r="238" spans="1:16" ht="18.75" thickBot="1" x14ac:dyDescent="0.3">
      <c r="A238" s="293"/>
      <c r="B238" s="312"/>
      <c r="C238" s="37" t="s">
        <v>58</v>
      </c>
      <c r="D238" s="44">
        <v>2</v>
      </c>
      <c r="E238" s="39">
        <v>4</v>
      </c>
      <c r="F238" s="39">
        <v>4</v>
      </c>
      <c r="G238" s="39">
        <v>2</v>
      </c>
      <c r="H238" s="39">
        <v>1</v>
      </c>
      <c r="I238" s="38"/>
      <c r="J238" s="38"/>
      <c r="K238" s="38"/>
      <c r="L238" s="38"/>
      <c r="M238" s="38"/>
      <c r="N238" s="38"/>
      <c r="O238" s="38"/>
      <c r="P238" s="49">
        <v>13</v>
      </c>
    </row>
    <row r="239" spans="1:16" ht="18.75" thickBot="1" x14ac:dyDescent="0.3">
      <c r="A239" s="293"/>
      <c r="B239" s="312"/>
      <c r="C239" s="37" t="s">
        <v>59</v>
      </c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49">
        <v>0</v>
      </c>
    </row>
    <row r="240" spans="1:16" ht="18.75" thickBot="1" x14ac:dyDescent="0.3">
      <c r="A240" s="293"/>
      <c r="B240" s="312"/>
      <c r="C240" s="37" t="s">
        <v>60</v>
      </c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49">
        <v>0</v>
      </c>
    </row>
    <row r="241" spans="1:16" ht="18.75" thickBot="1" x14ac:dyDescent="0.3">
      <c r="A241" s="293"/>
      <c r="B241" s="312"/>
      <c r="C241" s="37" t="s">
        <v>61</v>
      </c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49">
        <v>0</v>
      </c>
    </row>
    <row r="242" spans="1:16" ht="18.75" thickBot="1" x14ac:dyDescent="0.3">
      <c r="A242" s="293"/>
      <c r="B242" s="312"/>
      <c r="C242" s="37" t="s">
        <v>62</v>
      </c>
      <c r="D242" s="44">
        <v>1</v>
      </c>
      <c r="E242" s="39">
        <v>2</v>
      </c>
      <c r="F242" s="38"/>
      <c r="G242" s="38"/>
      <c r="H242" s="38"/>
      <c r="I242" s="39">
        <v>2</v>
      </c>
      <c r="J242" s="38"/>
      <c r="K242" s="39">
        <v>1</v>
      </c>
      <c r="L242" s="44">
        <v>1</v>
      </c>
      <c r="M242" s="38"/>
      <c r="N242" s="38"/>
      <c r="O242" s="39">
        <v>1</v>
      </c>
      <c r="P242" s="49">
        <v>8</v>
      </c>
    </row>
    <row r="243" spans="1:16" ht="18.75" thickBot="1" x14ac:dyDescent="0.3">
      <c r="A243" s="293"/>
      <c r="B243" s="312"/>
      <c r="C243" s="37" t="s">
        <v>63</v>
      </c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9">
        <v>3</v>
      </c>
      <c r="P243" s="49">
        <v>3</v>
      </c>
    </row>
    <row r="244" spans="1:16" ht="27.75" thickBot="1" x14ac:dyDescent="0.3">
      <c r="A244" s="293"/>
      <c r="B244" s="312"/>
      <c r="C244" s="37" t="s">
        <v>64</v>
      </c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9">
        <v>1</v>
      </c>
      <c r="O244" s="38"/>
      <c r="P244" s="49">
        <v>1</v>
      </c>
    </row>
    <row r="245" spans="1:16" ht="15.75" thickBot="1" x14ac:dyDescent="0.3">
      <c r="A245" s="293"/>
      <c r="B245" s="312"/>
      <c r="C245" s="42" t="s">
        <v>65</v>
      </c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49">
        <v>0</v>
      </c>
    </row>
    <row r="246" spans="1:16" ht="15.75" thickBot="1" x14ac:dyDescent="0.3">
      <c r="A246" s="293"/>
      <c r="B246" s="312"/>
      <c r="C246" s="42" t="s">
        <v>66</v>
      </c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49">
        <v>0</v>
      </c>
    </row>
    <row r="247" spans="1:16" ht="18.75" thickBot="1" x14ac:dyDescent="0.3">
      <c r="A247" s="306"/>
      <c r="B247" s="313"/>
      <c r="C247" s="42" t="s">
        <v>67</v>
      </c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49">
        <v>0</v>
      </c>
    </row>
    <row r="248" spans="1:16" ht="15.75" thickBot="1" x14ac:dyDescent="0.3">
      <c r="A248" s="292">
        <v>21</v>
      </c>
      <c r="B248" s="295" t="s">
        <v>39</v>
      </c>
      <c r="C248" s="37" t="s">
        <v>56</v>
      </c>
      <c r="D248" s="43"/>
      <c r="E248" s="43"/>
      <c r="F248" s="43"/>
      <c r="G248" s="39">
        <v>1</v>
      </c>
      <c r="H248" s="39">
        <v>1</v>
      </c>
      <c r="I248" s="43"/>
      <c r="J248" s="43"/>
      <c r="K248" s="43"/>
      <c r="L248" s="43"/>
      <c r="M248" s="43"/>
      <c r="N248" s="43"/>
      <c r="O248" s="43"/>
      <c r="P248" s="49">
        <v>2</v>
      </c>
    </row>
    <row r="249" spans="1:16" ht="18.75" thickBot="1" x14ac:dyDescent="0.3">
      <c r="A249" s="293"/>
      <c r="B249" s="296"/>
      <c r="C249" s="37" t="s">
        <v>57</v>
      </c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49">
        <v>0</v>
      </c>
    </row>
    <row r="250" spans="1:16" ht="18.75" thickBot="1" x14ac:dyDescent="0.3">
      <c r="A250" s="293"/>
      <c r="B250" s="296"/>
      <c r="C250" s="37" t="s">
        <v>58</v>
      </c>
      <c r="D250" s="38"/>
      <c r="E250" s="38"/>
      <c r="F250" s="38"/>
      <c r="G250" s="39">
        <v>2</v>
      </c>
      <c r="H250" s="38"/>
      <c r="I250" s="38"/>
      <c r="J250" s="38"/>
      <c r="K250" s="38"/>
      <c r="L250" s="38"/>
      <c r="M250" s="38"/>
      <c r="N250" s="38"/>
      <c r="O250" s="38"/>
      <c r="P250" s="49">
        <v>2</v>
      </c>
    </row>
    <row r="251" spans="1:16" ht="18.75" thickBot="1" x14ac:dyDescent="0.3">
      <c r="A251" s="293"/>
      <c r="B251" s="296"/>
      <c r="C251" s="37" t="s">
        <v>59</v>
      </c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49">
        <v>0</v>
      </c>
    </row>
    <row r="252" spans="1:16" ht="18.75" thickBot="1" x14ac:dyDescent="0.3">
      <c r="A252" s="293"/>
      <c r="B252" s="296"/>
      <c r="C252" s="37" t="s">
        <v>60</v>
      </c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49">
        <v>0</v>
      </c>
    </row>
    <row r="253" spans="1:16" ht="18.75" thickBot="1" x14ac:dyDescent="0.3">
      <c r="A253" s="293"/>
      <c r="B253" s="296"/>
      <c r="C253" s="37" t="s">
        <v>61</v>
      </c>
      <c r="D253" s="44">
        <v>1</v>
      </c>
      <c r="E253" s="38"/>
      <c r="F253" s="38"/>
      <c r="G253" s="38"/>
      <c r="H253" s="38"/>
      <c r="I253" s="38"/>
      <c r="J253" s="39">
        <v>1</v>
      </c>
      <c r="K253" s="38"/>
      <c r="L253" s="38"/>
      <c r="M253" s="38"/>
      <c r="N253" s="39">
        <v>1</v>
      </c>
      <c r="O253" s="38"/>
      <c r="P253" s="49">
        <v>3</v>
      </c>
    </row>
    <row r="254" spans="1:16" ht="18.75" thickBot="1" x14ac:dyDescent="0.3">
      <c r="A254" s="293"/>
      <c r="B254" s="296"/>
      <c r="C254" s="37" t="s">
        <v>62</v>
      </c>
      <c r="D254" s="38"/>
      <c r="E254" s="39">
        <v>1</v>
      </c>
      <c r="F254" s="38"/>
      <c r="G254" s="38"/>
      <c r="H254" s="38"/>
      <c r="I254" s="38"/>
      <c r="J254" s="39">
        <v>2</v>
      </c>
      <c r="K254" s="39">
        <v>2</v>
      </c>
      <c r="L254" s="44">
        <v>2</v>
      </c>
      <c r="M254" s="39">
        <v>2</v>
      </c>
      <c r="N254" s="38"/>
      <c r="O254" s="39">
        <v>1</v>
      </c>
      <c r="P254" s="49">
        <v>10</v>
      </c>
    </row>
    <row r="255" spans="1:16" ht="18.75" thickBot="1" x14ac:dyDescent="0.3">
      <c r="A255" s="293"/>
      <c r="B255" s="296"/>
      <c r="C255" s="37" t="s">
        <v>63</v>
      </c>
      <c r="D255" s="44">
        <v>1</v>
      </c>
      <c r="E255" s="38"/>
      <c r="F255" s="38"/>
      <c r="G255" s="38"/>
      <c r="H255" s="38"/>
      <c r="I255" s="38"/>
      <c r="J255" s="38"/>
      <c r="K255" s="38"/>
      <c r="L255" s="38"/>
      <c r="M255" s="38"/>
      <c r="N255" s="39">
        <v>1</v>
      </c>
      <c r="O255" s="38"/>
      <c r="P255" s="49">
        <v>2</v>
      </c>
    </row>
    <row r="256" spans="1:16" ht="27.75" thickBot="1" x14ac:dyDescent="0.3">
      <c r="A256" s="293"/>
      <c r="B256" s="296"/>
      <c r="C256" s="37" t="s">
        <v>64</v>
      </c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49">
        <v>0</v>
      </c>
    </row>
    <row r="257" spans="1:16" ht="15.75" thickBot="1" x14ac:dyDescent="0.3">
      <c r="A257" s="293"/>
      <c r="B257" s="296"/>
      <c r="C257" s="42" t="s">
        <v>65</v>
      </c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49">
        <v>0</v>
      </c>
    </row>
    <row r="258" spans="1:16" ht="15.75" thickBot="1" x14ac:dyDescent="0.3">
      <c r="A258" s="293"/>
      <c r="B258" s="296"/>
      <c r="C258" s="42" t="s">
        <v>66</v>
      </c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49">
        <v>0</v>
      </c>
    </row>
    <row r="259" spans="1:16" ht="18.75" thickBot="1" x14ac:dyDescent="0.3">
      <c r="A259" s="306"/>
      <c r="B259" s="310"/>
      <c r="C259" s="42" t="s">
        <v>67</v>
      </c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49">
        <v>0</v>
      </c>
    </row>
    <row r="260" spans="1:16" ht="15.75" thickBot="1" x14ac:dyDescent="0.3">
      <c r="A260" s="292">
        <v>22</v>
      </c>
      <c r="B260" s="295" t="s">
        <v>27</v>
      </c>
      <c r="C260" s="37" t="s">
        <v>56</v>
      </c>
      <c r="D260" s="38"/>
      <c r="E260" s="39">
        <v>4</v>
      </c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49">
        <v>4</v>
      </c>
    </row>
    <row r="261" spans="1:16" ht="18.75" thickBot="1" x14ac:dyDescent="0.3">
      <c r="A261" s="293"/>
      <c r="B261" s="296"/>
      <c r="C261" s="37" t="s">
        <v>57</v>
      </c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49">
        <v>0</v>
      </c>
    </row>
    <row r="262" spans="1:16" ht="15.75" thickBot="1" x14ac:dyDescent="0.3">
      <c r="A262" s="45"/>
    </row>
    <row r="263" spans="1:16" ht="18.75" thickBot="1" x14ac:dyDescent="0.3">
      <c r="A263" s="304"/>
      <c r="B263" s="304"/>
      <c r="C263" s="46" t="s">
        <v>58</v>
      </c>
      <c r="D263" s="52">
        <v>2</v>
      </c>
      <c r="E263" s="53">
        <v>5</v>
      </c>
      <c r="F263" s="47"/>
      <c r="G263" s="47"/>
      <c r="H263" s="47"/>
      <c r="I263" s="47"/>
      <c r="J263" s="53">
        <v>1</v>
      </c>
      <c r="K263" s="47"/>
      <c r="L263" s="47"/>
      <c r="M263" s="47"/>
      <c r="N263" s="47"/>
      <c r="O263" s="47"/>
      <c r="P263" s="54">
        <v>8</v>
      </c>
    </row>
    <row r="264" spans="1:16" ht="18.75" thickBot="1" x14ac:dyDescent="0.3">
      <c r="A264" s="304"/>
      <c r="B264" s="304"/>
      <c r="C264" s="37" t="s">
        <v>59</v>
      </c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40">
        <v>0</v>
      </c>
    </row>
    <row r="265" spans="1:16" ht="18.75" thickBot="1" x14ac:dyDescent="0.3">
      <c r="A265" s="304"/>
      <c r="B265" s="304"/>
      <c r="C265" s="37" t="s">
        <v>60</v>
      </c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40">
        <v>0</v>
      </c>
    </row>
    <row r="266" spans="1:16" ht="18.75" thickBot="1" x14ac:dyDescent="0.3">
      <c r="A266" s="304"/>
      <c r="B266" s="304"/>
      <c r="C266" s="37" t="s">
        <v>61</v>
      </c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40">
        <v>0</v>
      </c>
    </row>
    <row r="267" spans="1:16" ht="18.75" thickBot="1" x14ac:dyDescent="0.3">
      <c r="A267" s="304"/>
      <c r="B267" s="304"/>
      <c r="C267" s="37" t="s">
        <v>62</v>
      </c>
      <c r="D267" s="44">
        <v>1</v>
      </c>
      <c r="E267" s="38"/>
      <c r="F267" s="38"/>
      <c r="G267" s="38"/>
      <c r="H267" s="38"/>
      <c r="I267" s="39">
        <v>1</v>
      </c>
      <c r="J267" s="39">
        <v>4</v>
      </c>
      <c r="K267" s="39">
        <v>2</v>
      </c>
      <c r="L267" s="39">
        <v>2</v>
      </c>
      <c r="M267" s="39">
        <v>1</v>
      </c>
      <c r="N267" s="44">
        <v>1</v>
      </c>
      <c r="O267" s="38"/>
      <c r="P267" s="40">
        <v>12</v>
      </c>
    </row>
    <row r="268" spans="1:16" ht="18.75" thickBot="1" x14ac:dyDescent="0.3">
      <c r="A268" s="304"/>
      <c r="B268" s="304"/>
      <c r="C268" s="37" t="s">
        <v>63</v>
      </c>
      <c r="D268" s="44">
        <v>6</v>
      </c>
      <c r="E268" s="38"/>
      <c r="F268" s="38"/>
      <c r="G268" s="44">
        <v>4</v>
      </c>
      <c r="H268" s="39">
        <v>1</v>
      </c>
      <c r="I268" s="39">
        <v>2</v>
      </c>
      <c r="J268" s="39">
        <v>3</v>
      </c>
      <c r="K268" s="39">
        <v>21</v>
      </c>
      <c r="L268" s="39">
        <v>3</v>
      </c>
      <c r="M268" s="38"/>
      <c r="N268" s="44">
        <v>1</v>
      </c>
      <c r="O268" s="44">
        <v>2</v>
      </c>
      <c r="P268" s="40">
        <v>43</v>
      </c>
    </row>
    <row r="269" spans="1:16" ht="27.75" thickBot="1" x14ac:dyDescent="0.3">
      <c r="A269" s="304"/>
      <c r="B269" s="304"/>
      <c r="C269" s="37" t="s">
        <v>64</v>
      </c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40">
        <v>0</v>
      </c>
    </row>
    <row r="270" spans="1:16" ht="15.75" thickBot="1" x14ac:dyDescent="0.3">
      <c r="A270" s="304"/>
      <c r="B270" s="304"/>
      <c r="C270" s="42" t="s">
        <v>65</v>
      </c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40">
        <v>0</v>
      </c>
    </row>
    <row r="271" spans="1:16" ht="15.75" thickBot="1" x14ac:dyDescent="0.3">
      <c r="A271" s="304"/>
      <c r="B271" s="304"/>
      <c r="C271" s="42" t="s">
        <v>66</v>
      </c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40">
        <v>0</v>
      </c>
    </row>
    <row r="272" spans="1:16" ht="18.75" thickBot="1" x14ac:dyDescent="0.3">
      <c r="A272" s="305"/>
      <c r="B272" s="305"/>
      <c r="C272" s="42" t="s">
        <v>67</v>
      </c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40">
        <v>0</v>
      </c>
    </row>
    <row r="273" spans="1:16" ht="15.75" thickBot="1" x14ac:dyDescent="0.3">
      <c r="A273" s="292">
        <v>23</v>
      </c>
      <c r="B273" s="307" t="s">
        <v>37</v>
      </c>
      <c r="C273" s="37" t="s">
        <v>56</v>
      </c>
      <c r="D273" s="38"/>
      <c r="E273" s="38"/>
      <c r="F273" s="44">
        <v>1</v>
      </c>
      <c r="G273" s="38"/>
      <c r="H273" s="39">
        <v>1</v>
      </c>
      <c r="I273" s="38"/>
      <c r="J273" s="38"/>
      <c r="K273" s="38"/>
      <c r="L273" s="38"/>
      <c r="M273" s="39">
        <v>1</v>
      </c>
      <c r="N273" s="38"/>
      <c r="O273" s="38"/>
      <c r="P273" s="40">
        <v>3</v>
      </c>
    </row>
    <row r="274" spans="1:16" ht="18.75" thickBot="1" x14ac:dyDescent="0.3">
      <c r="A274" s="293"/>
      <c r="B274" s="308"/>
      <c r="C274" s="37" t="s">
        <v>57</v>
      </c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40">
        <v>0</v>
      </c>
    </row>
    <row r="275" spans="1:16" ht="18.75" thickBot="1" x14ac:dyDescent="0.3">
      <c r="A275" s="293"/>
      <c r="B275" s="308"/>
      <c r="C275" s="37" t="s">
        <v>58</v>
      </c>
      <c r="D275" s="38"/>
      <c r="E275" s="38"/>
      <c r="F275" s="38"/>
      <c r="G275" s="38"/>
      <c r="H275" s="39">
        <v>4</v>
      </c>
      <c r="I275" s="38"/>
      <c r="J275" s="38"/>
      <c r="K275" s="38"/>
      <c r="L275" s="38"/>
      <c r="M275" s="38"/>
      <c r="N275" s="38"/>
      <c r="O275" s="38"/>
      <c r="P275" s="40">
        <v>4</v>
      </c>
    </row>
    <row r="276" spans="1:16" ht="18.75" thickBot="1" x14ac:dyDescent="0.3">
      <c r="A276" s="293"/>
      <c r="B276" s="308"/>
      <c r="C276" s="37" t="s">
        <v>59</v>
      </c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40">
        <v>0</v>
      </c>
    </row>
    <row r="277" spans="1:16" ht="18.75" thickBot="1" x14ac:dyDescent="0.3">
      <c r="A277" s="293"/>
      <c r="B277" s="308"/>
      <c r="C277" s="37" t="s">
        <v>60</v>
      </c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40">
        <v>0</v>
      </c>
    </row>
    <row r="278" spans="1:16" ht="18.75" thickBot="1" x14ac:dyDescent="0.3">
      <c r="A278" s="293"/>
      <c r="B278" s="308"/>
      <c r="C278" s="37" t="s">
        <v>61</v>
      </c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40">
        <v>0</v>
      </c>
    </row>
    <row r="279" spans="1:16" ht="18.75" thickBot="1" x14ac:dyDescent="0.3">
      <c r="A279" s="293"/>
      <c r="B279" s="308"/>
      <c r="C279" s="37" t="s">
        <v>62</v>
      </c>
      <c r="D279" s="44">
        <v>1</v>
      </c>
      <c r="E279" s="39">
        <v>2</v>
      </c>
      <c r="F279" s="38"/>
      <c r="G279" s="44">
        <v>1</v>
      </c>
      <c r="H279" s="39">
        <v>1</v>
      </c>
      <c r="I279" s="39">
        <v>2</v>
      </c>
      <c r="J279" s="38"/>
      <c r="K279" s="39">
        <v>1</v>
      </c>
      <c r="L279" s="39">
        <v>2</v>
      </c>
      <c r="M279" s="39">
        <v>2</v>
      </c>
      <c r="N279" s="44">
        <v>1</v>
      </c>
      <c r="O279" s="44">
        <v>1</v>
      </c>
      <c r="P279" s="40">
        <v>14</v>
      </c>
    </row>
    <row r="280" spans="1:16" ht="18.75" thickBot="1" x14ac:dyDescent="0.3">
      <c r="A280" s="293"/>
      <c r="B280" s="308"/>
      <c r="C280" s="37" t="s">
        <v>63</v>
      </c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40">
        <v>0</v>
      </c>
    </row>
    <row r="281" spans="1:16" ht="27.75" thickBot="1" x14ac:dyDescent="0.3">
      <c r="A281" s="293"/>
      <c r="B281" s="308"/>
      <c r="C281" s="37" t="s">
        <v>64</v>
      </c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40">
        <v>0</v>
      </c>
    </row>
    <row r="282" spans="1:16" ht="15.75" thickBot="1" x14ac:dyDescent="0.3">
      <c r="A282" s="293"/>
      <c r="B282" s="308"/>
      <c r="C282" s="42" t="s">
        <v>65</v>
      </c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40">
        <v>0</v>
      </c>
    </row>
    <row r="283" spans="1:16" ht="15.75" thickBot="1" x14ac:dyDescent="0.3">
      <c r="A283" s="293"/>
      <c r="B283" s="308"/>
      <c r="C283" s="42" t="s">
        <v>66</v>
      </c>
      <c r="D283" s="38"/>
      <c r="E283" s="38"/>
      <c r="F283" s="38"/>
      <c r="G283" s="38"/>
      <c r="H283" s="38"/>
      <c r="I283" s="38"/>
      <c r="J283" s="38"/>
      <c r="K283" s="38"/>
      <c r="L283" s="38"/>
      <c r="M283" s="39">
        <v>5</v>
      </c>
      <c r="N283" s="38"/>
      <c r="O283" s="38"/>
      <c r="P283" s="40">
        <v>5</v>
      </c>
    </row>
    <row r="284" spans="1:16" ht="18.75" thickBot="1" x14ac:dyDescent="0.3">
      <c r="A284" s="306"/>
      <c r="B284" s="309"/>
      <c r="C284" s="42" t="s">
        <v>67</v>
      </c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40">
        <v>0</v>
      </c>
    </row>
    <row r="285" spans="1:16" ht="15.75" thickBot="1" x14ac:dyDescent="0.3">
      <c r="A285" s="292">
        <v>24</v>
      </c>
      <c r="B285" s="295" t="s">
        <v>23</v>
      </c>
      <c r="C285" s="37" t="s">
        <v>56</v>
      </c>
      <c r="D285" s="44">
        <v>1</v>
      </c>
      <c r="E285" s="39">
        <v>1</v>
      </c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0">
        <v>2</v>
      </c>
    </row>
    <row r="286" spans="1:16" ht="18.75" thickBot="1" x14ac:dyDescent="0.3">
      <c r="A286" s="293"/>
      <c r="B286" s="296"/>
      <c r="C286" s="37" t="s">
        <v>57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0">
        <v>0</v>
      </c>
    </row>
    <row r="287" spans="1:16" ht="18.75" thickBot="1" x14ac:dyDescent="0.3">
      <c r="A287" s="293"/>
      <c r="B287" s="296"/>
      <c r="C287" s="37" t="s">
        <v>58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0">
        <v>0</v>
      </c>
    </row>
    <row r="288" spans="1:16" ht="18.75" thickBot="1" x14ac:dyDescent="0.3">
      <c r="A288" s="293"/>
      <c r="B288" s="296"/>
      <c r="C288" s="37" t="s">
        <v>59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0">
        <v>0</v>
      </c>
    </row>
    <row r="289" spans="1:16" ht="18.75" thickBot="1" x14ac:dyDescent="0.3">
      <c r="A289" s="293"/>
      <c r="B289" s="296"/>
      <c r="C289" s="37" t="s">
        <v>60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0">
        <v>0</v>
      </c>
    </row>
    <row r="290" spans="1:16" ht="18.75" thickBot="1" x14ac:dyDescent="0.3">
      <c r="A290" s="293"/>
      <c r="B290" s="296"/>
      <c r="C290" s="37" t="s">
        <v>61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0">
        <v>0</v>
      </c>
    </row>
    <row r="291" spans="1:16" ht="18.75" thickBot="1" x14ac:dyDescent="0.3">
      <c r="A291" s="293"/>
      <c r="B291" s="296"/>
      <c r="C291" s="37" t="s">
        <v>62</v>
      </c>
      <c r="D291" s="44">
        <v>2</v>
      </c>
      <c r="E291" s="43"/>
      <c r="F291" s="44">
        <v>2</v>
      </c>
      <c r="G291" s="44">
        <v>2</v>
      </c>
      <c r="H291" s="43"/>
      <c r="I291" s="39">
        <v>4</v>
      </c>
      <c r="J291" s="43"/>
      <c r="K291" s="39">
        <v>2</v>
      </c>
      <c r="L291" s="39">
        <v>3</v>
      </c>
      <c r="M291" s="39">
        <v>7</v>
      </c>
      <c r="N291" s="44">
        <v>1</v>
      </c>
      <c r="O291" s="44">
        <v>1</v>
      </c>
      <c r="P291" s="40">
        <v>24</v>
      </c>
    </row>
    <row r="292" spans="1:16" ht="18.75" thickBot="1" x14ac:dyDescent="0.3">
      <c r="A292" s="293"/>
      <c r="B292" s="296"/>
      <c r="C292" s="37" t="s">
        <v>63</v>
      </c>
      <c r="D292" s="44">
        <v>1</v>
      </c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0">
        <v>1</v>
      </c>
    </row>
    <row r="293" spans="1:16" ht="27.75" thickBot="1" x14ac:dyDescent="0.3">
      <c r="A293" s="293"/>
      <c r="B293" s="296"/>
      <c r="C293" s="37" t="s">
        <v>64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0">
        <v>0</v>
      </c>
    </row>
    <row r="294" spans="1:16" ht="15.75" thickBot="1" x14ac:dyDescent="0.3">
      <c r="A294" s="293"/>
      <c r="B294" s="296"/>
      <c r="C294" s="42" t="s">
        <v>65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0">
        <v>0</v>
      </c>
    </row>
    <row r="295" spans="1:16" ht="15.75" thickBot="1" x14ac:dyDescent="0.3">
      <c r="A295" s="293"/>
      <c r="B295" s="296"/>
      <c r="C295" s="42" t="s">
        <v>66</v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0">
        <v>0</v>
      </c>
    </row>
    <row r="296" spans="1:16" ht="18.75" thickBot="1" x14ac:dyDescent="0.3">
      <c r="A296" s="294"/>
      <c r="B296" s="297"/>
      <c r="C296" s="55" t="s">
        <v>67</v>
      </c>
      <c r="D296" s="56"/>
      <c r="E296" s="56"/>
      <c r="F296" s="56"/>
      <c r="G296" s="56"/>
      <c r="H296" s="56"/>
      <c r="I296" s="56"/>
      <c r="J296" s="56"/>
      <c r="K296" s="56"/>
      <c r="L296" s="57">
        <v>3</v>
      </c>
      <c r="M296" s="57">
        <v>1</v>
      </c>
      <c r="N296" s="58">
        <v>1</v>
      </c>
      <c r="O296" s="56"/>
      <c r="P296" s="59">
        <v>5</v>
      </c>
    </row>
    <row r="297" spans="1:16" ht="16.5" thickTop="1" thickBot="1" x14ac:dyDescent="0.3">
      <c r="A297" s="298" t="s">
        <v>15</v>
      </c>
      <c r="B297" s="299"/>
      <c r="C297" s="300"/>
      <c r="D297" s="60">
        <v>73</v>
      </c>
      <c r="E297" s="61">
        <v>118</v>
      </c>
      <c r="F297" s="60">
        <v>53</v>
      </c>
      <c r="G297" s="60" t="s">
        <v>227</v>
      </c>
      <c r="H297" s="61">
        <v>58</v>
      </c>
      <c r="I297" s="61">
        <v>47</v>
      </c>
      <c r="J297" s="61">
        <v>58</v>
      </c>
      <c r="K297" s="61">
        <v>87</v>
      </c>
      <c r="L297" s="61">
        <v>155</v>
      </c>
      <c r="M297" s="61">
        <v>171</v>
      </c>
      <c r="N297" s="60">
        <v>60</v>
      </c>
      <c r="O297" s="60">
        <v>43</v>
      </c>
      <c r="P297" s="61">
        <v>980</v>
      </c>
    </row>
    <row r="298" spans="1:16" ht="15.75" thickTop="1" x14ac:dyDescent="0.25">
      <c r="A298" s="62"/>
    </row>
  </sheetData>
  <mergeCells count="59">
    <mergeCell ref="D1:O1"/>
    <mergeCell ref="P1:P2"/>
    <mergeCell ref="A5:A16"/>
    <mergeCell ref="B5:B16"/>
    <mergeCell ref="A18:A29"/>
    <mergeCell ref="B18:B29"/>
    <mergeCell ref="A31:A42"/>
    <mergeCell ref="B31:B42"/>
    <mergeCell ref="A43:A54"/>
    <mergeCell ref="B43:B54"/>
    <mergeCell ref="A55:A66"/>
    <mergeCell ref="B55:B66"/>
    <mergeCell ref="A67:A78"/>
    <mergeCell ref="B67:B78"/>
    <mergeCell ref="A79:A84"/>
    <mergeCell ref="B79:B84"/>
    <mergeCell ref="A86:A91"/>
    <mergeCell ref="B86:B91"/>
    <mergeCell ref="A92:A103"/>
    <mergeCell ref="B92:B103"/>
    <mergeCell ref="A104:A115"/>
    <mergeCell ref="B104:B115"/>
    <mergeCell ref="A116:A127"/>
    <mergeCell ref="B116:B127"/>
    <mergeCell ref="A128:A139"/>
    <mergeCell ref="B128:B139"/>
    <mergeCell ref="A140:A151"/>
    <mergeCell ref="B140:B151"/>
    <mergeCell ref="A152:A163"/>
    <mergeCell ref="B152:B163"/>
    <mergeCell ref="A164:A173"/>
    <mergeCell ref="B164:B173"/>
    <mergeCell ref="A174:A175"/>
    <mergeCell ref="B174:B175"/>
    <mergeCell ref="A176:A187"/>
    <mergeCell ref="B176:B187"/>
    <mergeCell ref="B248:B259"/>
    <mergeCell ref="A188:A199"/>
    <mergeCell ref="B188:B199"/>
    <mergeCell ref="A200:A211"/>
    <mergeCell ref="B200:B211"/>
    <mergeCell ref="A212:A223"/>
    <mergeCell ref="B212:B223"/>
    <mergeCell ref="A285:A296"/>
    <mergeCell ref="B285:B296"/>
    <mergeCell ref="A297:C297"/>
    <mergeCell ref="A17:O17"/>
    <mergeCell ref="A30:O30"/>
    <mergeCell ref="A260:A261"/>
    <mergeCell ref="B260:B261"/>
    <mergeCell ref="A263:A272"/>
    <mergeCell ref="B263:B272"/>
    <mergeCell ref="A273:A284"/>
    <mergeCell ref="B273:B284"/>
    <mergeCell ref="A224:A235"/>
    <mergeCell ref="B224:B235"/>
    <mergeCell ref="A236:A247"/>
    <mergeCell ref="B236:B247"/>
    <mergeCell ref="A248:A25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9BCA-21B2-49A9-A9C5-383DEF0C4FA2}">
  <dimension ref="A1:T319"/>
  <sheetViews>
    <sheetView zoomScaleNormal="100" workbookViewId="0">
      <selection activeCell="H317" sqref="H317"/>
    </sheetView>
  </sheetViews>
  <sheetFormatPr defaultRowHeight="15" x14ac:dyDescent="0.25"/>
  <cols>
    <col min="7" max="7" width="9.140625" style="69"/>
  </cols>
  <sheetData>
    <row r="1" spans="1:20" ht="17.25" thickTop="1" thickBot="1" x14ac:dyDescent="0.3">
      <c r="A1" s="19"/>
      <c r="B1" s="22"/>
      <c r="C1" s="22"/>
      <c r="D1" s="317" t="s">
        <v>41</v>
      </c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9"/>
      <c r="S1" s="64"/>
      <c r="T1" s="320" t="s">
        <v>42</v>
      </c>
    </row>
    <row r="2" spans="1:20" ht="54.75" thickBot="1" x14ac:dyDescent="0.3">
      <c r="A2" s="20" t="s">
        <v>1</v>
      </c>
      <c r="B2" s="23" t="s">
        <v>2</v>
      </c>
      <c r="C2" s="25" t="s">
        <v>3</v>
      </c>
      <c r="D2" s="27" t="s">
        <v>43</v>
      </c>
      <c r="E2" s="27" t="s">
        <v>44</v>
      </c>
      <c r="F2" s="27" t="s">
        <v>45</v>
      </c>
      <c r="G2" s="65" t="s">
        <v>68</v>
      </c>
      <c r="H2" s="27" t="s">
        <v>46</v>
      </c>
      <c r="I2" s="27" t="s">
        <v>47</v>
      </c>
      <c r="J2" s="27" t="s">
        <v>48</v>
      </c>
      <c r="K2" s="27" t="s">
        <v>69</v>
      </c>
      <c r="L2" s="27" t="s">
        <v>49</v>
      </c>
      <c r="M2" s="27" t="s">
        <v>50</v>
      </c>
      <c r="N2" s="27" t="s">
        <v>51</v>
      </c>
      <c r="O2" s="27" t="s">
        <v>70</v>
      </c>
      <c r="P2" s="28" t="s">
        <v>52</v>
      </c>
      <c r="Q2" s="27" t="s">
        <v>53</v>
      </c>
      <c r="R2" s="27" t="s">
        <v>54</v>
      </c>
      <c r="S2" s="27" t="s">
        <v>71</v>
      </c>
      <c r="T2" s="321"/>
    </row>
    <row r="3" spans="1:20" ht="15.75" thickBot="1" x14ac:dyDescent="0.3">
      <c r="A3" s="21"/>
      <c r="B3" s="24"/>
      <c r="C3" s="26"/>
      <c r="D3" s="29">
        <v>0</v>
      </c>
      <c r="E3" s="29" t="s">
        <v>55</v>
      </c>
      <c r="F3" s="29" t="s">
        <v>55</v>
      </c>
      <c r="G3" s="66"/>
      <c r="H3" s="29" t="s">
        <v>55</v>
      </c>
      <c r="I3" s="29" t="s">
        <v>55</v>
      </c>
      <c r="J3" s="29" t="s">
        <v>55</v>
      </c>
      <c r="K3" s="29"/>
      <c r="L3" s="29" t="s">
        <v>55</v>
      </c>
      <c r="M3" s="29" t="s">
        <v>55</v>
      </c>
      <c r="N3" s="29" t="s">
        <v>55</v>
      </c>
      <c r="O3" s="29"/>
      <c r="P3" s="30" t="s">
        <v>55</v>
      </c>
      <c r="Q3" s="29" t="s">
        <v>55</v>
      </c>
      <c r="R3" s="29" t="s">
        <v>55</v>
      </c>
      <c r="S3" s="29"/>
      <c r="T3" s="31" t="s">
        <v>55</v>
      </c>
    </row>
    <row r="4" spans="1:20" ht="15.75" thickBot="1" x14ac:dyDescent="0.3">
      <c r="A4" s="32">
        <v>1</v>
      </c>
      <c r="B4" s="33">
        <v>2</v>
      </c>
      <c r="C4" s="33">
        <v>3</v>
      </c>
      <c r="D4" s="34">
        <v>4</v>
      </c>
      <c r="E4" s="34">
        <v>5</v>
      </c>
      <c r="F4" s="34">
        <v>6</v>
      </c>
      <c r="G4" s="67" t="s">
        <v>72</v>
      </c>
      <c r="H4" s="34">
        <v>7</v>
      </c>
      <c r="I4" s="34">
        <v>8</v>
      </c>
      <c r="J4" s="34">
        <v>9</v>
      </c>
      <c r="K4" s="34" t="s">
        <v>73</v>
      </c>
      <c r="L4" s="34">
        <v>10</v>
      </c>
      <c r="M4" s="34">
        <v>11</v>
      </c>
      <c r="N4" s="34">
        <v>12</v>
      </c>
      <c r="O4" s="34" t="s">
        <v>74</v>
      </c>
      <c r="P4" s="35">
        <v>13</v>
      </c>
      <c r="Q4" s="34">
        <v>14</v>
      </c>
      <c r="R4" s="34">
        <v>15</v>
      </c>
      <c r="S4" s="34" t="s">
        <v>75</v>
      </c>
      <c r="T4" s="36">
        <v>16</v>
      </c>
    </row>
    <row r="5" spans="1:20" ht="15.75" thickBot="1" x14ac:dyDescent="0.3">
      <c r="A5" s="314">
        <v>1</v>
      </c>
      <c r="B5" s="307" t="s">
        <v>16</v>
      </c>
      <c r="C5" s="37" t="s">
        <v>56</v>
      </c>
      <c r="D5" s="38"/>
      <c r="E5" s="38"/>
      <c r="F5" s="38"/>
      <c r="G5" s="68">
        <f>D5+E5+F5</f>
        <v>0</v>
      </c>
      <c r="H5" s="38"/>
      <c r="I5" s="38"/>
      <c r="J5" s="38"/>
      <c r="K5" s="68">
        <f>H5+I5+J5</f>
        <v>0</v>
      </c>
      <c r="L5" s="39">
        <v>2</v>
      </c>
      <c r="M5" s="38"/>
      <c r="N5" s="38"/>
      <c r="O5" s="68">
        <f>L5+M5+N5</f>
        <v>2</v>
      </c>
      <c r="P5" s="38"/>
      <c r="Q5" s="38"/>
      <c r="R5" s="38"/>
      <c r="S5" s="68">
        <f>P5+Q5+R5</f>
        <v>0</v>
      </c>
      <c r="T5" s="40">
        <v>2</v>
      </c>
    </row>
    <row r="6" spans="1:20" ht="18.75" thickBot="1" x14ac:dyDescent="0.3">
      <c r="A6" s="315"/>
      <c r="B6" s="308"/>
      <c r="C6" s="37" t="s">
        <v>57</v>
      </c>
      <c r="D6" s="38"/>
      <c r="E6" s="38"/>
      <c r="F6" s="38"/>
      <c r="G6" s="68">
        <f t="shared" ref="G6:G16" si="0">D6+E6+F6</f>
        <v>0</v>
      </c>
      <c r="H6" s="38"/>
      <c r="I6" s="38"/>
      <c r="J6" s="38"/>
      <c r="K6" s="68">
        <f t="shared" ref="K6:K16" si="1">H6+I6+J6</f>
        <v>0</v>
      </c>
      <c r="L6" s="38"/>
      <c r="M6" s="38"/>
      <c r="N6" s="38"/>
      <c r="O6" s="68">
        <f t="shared" ref="O6:O16" si="2">L6+M6+N6</f>
        <v>0</v>
      </c>
      <c r="P6" s="38"/>
      <c r="Q6" s="38"/>
      <c r="R6" s="38"/>
      <c r="S6" s="68">
        <f t="shared" ref="S6:S16" si="3">P6+Q6+R6</f>
        <v>0</v>
      </c>
      <c r="T6" s="40">
        <v>0</v>
      </c>
    </row>
    <row r="7" spans="1:20" ht="18.75" thickBot="1" x14ac:dyDescent="0.3">
      <c r="A7" s="315"/>
      <c r="B7" s="308"/>
      <c r="C7" s="37" t="s">
        <v>58</v>
      </c>
      <c r="D7" s="38"/>
      <c r="E7" s="38"/>
      <c r="F7" s="38"/>
      <c r="G7" s="68">
        <f t="shared" si="0"/>
        <v>0</v>
      </c>
      <c r="H7" s="38"/>
      <c r="I7" s="38"/>
      <c r="J7" s="38"/>
      <c r="K7" s="68">
        <f t="shared" si="1"/>
        <v>0</v>
      </c>
      <c r="L7" s="39">
        <v>1</v>
      </c>
      <c r="M7" s="38"/>
      <c r="N7" s="38"/>
      <c r="O7" s="68">
        <f t="shared" si="2"/>
        <v>1</v>
      </c>
      <c r="P7" s="38"/>
      <c r="Q7" s="38"/>
      <c r="R7" s="38"/>
      <c r="S7" s="68">
        <f t="shared" si="3"/>
        <v>0</v>
      </c>
      <c r="T7" s="40">
        <v>1</v>
      </c>
    </row>
    <row r="8" spans="1:20" ht="18.75" thickBot="1" x14ac:dyDescent="0.3">
      <c r="A8" s="315"/>
      <c r="B8" s="308"/>
      <c r="C8" s="37" t="s">
        <v>59</v>
      </c>
      <c r="D8" s="41"/>
      <c r="E8" s="41"/>
      <c r="F8" s="41"/>
      <c r="G8" s="68">
        <f t="shared" si="0"/>
        <v>0</v>
      </c>
      <c r="H8" s="41"/>
      <c r="I8" s="41"/>
      <c r="J8" s="41"/>
      <c r="K8" s="68">
        <f t="shared" si="1"/>
        <v>0</v>
      </c>
      <c r="L8" s="41"/>
      <c r="M8" s="41"/>
      <c r="N8" s="41"/>
      <c r="O8" s="68">
        <f t="shared" si="2"/>
        <v>0</v>
      </c>
      <c r="P8" s="41"/>
      <c r="Q8" s="41"/>
      <c r="R8" s="41"/>
      <c r="S8" s="68">
        <f t="shared" si="3"/>
        <v>0</v>
      </c>
      <c r="T8" s="40">
        <v>0</v>
      </c>
    </row>
    <row r="9" spans="1:20" ht="18.75" thickBot="1" x14ac:dyDescent="0.3">
      <c r="A9" s="315"/>
      <c r="B9" s="308"/>
      <c r="C9" s="37" t="s">
        <v>60</v>
      </c>
      <c r="D9" s="38"/>
      <c r="E9" s="38"/>
      <c r="F9" s="38"/>
      <c r="G9" s="68">
        <f t="shared" si="0"/>
        <v>0</v>
      </c>
      <c r="H9" s="38"/>
      <c r="I9" s="38"/>
      <c r="J9" s="38"/>
      <c r="K9" s="68">
        <f t="shared" si="1"/>
        <v>0</v>
      </c>
      <c r="L9" s="38"/>
      <c r="M9" s="38"/>
      <c r="N9" s="38"/>
      <c r="O9" s="68">
        <f t="shared" si="2"/>
        <v>0</v>
      </c>
      <c r="P9" s="38"/>
      <c r="Q9" s="38"/>
      <c r="R9" s="38"/>
      <c r="S9" s="68">
        <f t="shared" si="3"/>
        <v>0</v>
      </c>
      <c r="T9" s="40">
        <v>0</v>
      </c>
    </row>
    <row r="10" spans="1:20" ht="18.75" thickBot="1" x14ac:dyDescent="0.3">
      <c r="A10" s="315"/>
      <c r="B10" s="308"/>
      <c r="C10" s="37" t="s">
        <v>61</v>
      </c>
      <c r="D10" s="38"/>
      <c r="E10" s="38"/>
      <c r="F10" s="38"/>
      <c r="G10" s="68">
        <f t="shared" si="0"/>
        <v>0</v>
      </c>
      <c r="H10" s="39">
        <v>1</v>
      </c>
      <c r="I10" s="38"/>
      <c r="J10" s="38"/>
      <c r="K10" s="68">
        <f t="shared" si="1"/>
        <v>1</v>
      </c>
      <c r="L10" s="39">
        <v>1</v>
      </c>
      <c r="M10" s="38"/>
      <c r="N10" s="38"/>
      <c r="O10" s="68">
        <f t="shared" si="2"/>
        <v>1</v>
      </c>
      <c r="P10" s="38"/>
      <c r="Q10" s="38"/>
      <c r="R10" s="38"/>
      <c r="S10" s="68">
        <f t="shared" si="3"/>
        <v>0</v>
      </c>
      <c r="T10" s="40">
        <v>2</v>
      </c>
    </row>
    <row r="11" spans="1:20" ht="18.75" thickBot="1" x14ac:dyDescent="0.3">
      <c r="A11" s="315"/>
      <c r="B11" s="308"/>
      <c r="C11" s="37" t="s">
        <v>62</v>
      </c>
      <c r="D11" s="39">
        <v>1</v>
      </c>
      <c r="E11" s="39">
        <v>1</v>
      </c>
      <c r="F11" s="41"/>
      <c r="G11" s="68">
        <f t="shared" si="0"/>
        <v>2</v>
      </c>
      <c r="H11" s="39">
        <v>2</v>
      </c>
      <c r="I11" s="41"/>
      <c r="J11" s="39">
        <v>1</v>
      </c>
      <c r="K11" s="68">
        <f t="shared" si="1"/>
        <v>3</v>
      </c>
      <c r="L11" s="39">
        <v>1</v>
      </c>
      <c r="M11" s="39">
        <v>2</v>
      </c>
      <c r="N11" s="39">
        <v>3</v>
      </c>
      <c r="O11" s="68">
        <f t="shared" si="2"/>
        <v>6</v>
      </c>
      <c r="P11" s="39">
        <v>1</v>
      </c>
      <c r="Q11" s="41"/>
      <c r="R11" s="41"/>
      <c r="S11" s="68">
        <f t="shared" si="3"/>
        <v>1</v>
      </c>
      <c r="T11" s="40">
        <v>12</v>
      </c>
    </row>
    <row r="12" spans="1:20" ht="18.75" thickBot="1" x14ac:dyDescent="0.3">
      <c r="A12" s="315"/>
      <c r="B12" s="308"/>
      <c r="C12" s="37" t="s">
        <v>63</v>
      </c>
      <c r="D12" s="39">
        <v>3</v>
      </c>
      <c r="E12" s="39">
        <v>6</v>
      </c>
      <c r="F12" s="39">
        <v>2</v>
      </c>
      <c r="G12" s="68">
        <f t="shared" si="0"/>
        <v>11</v>
      </c>
      <c r="H12" s="39">
        <v>2</v>
      </c>
      <c r="I12" s="39">
        <v>2</v>
      </c>
      <c r="J12" s="38"/>
      <c r="K12" s="68">
        <f t="shared" si="1"/>
        <v>4</v>
      </c>
      <c r="L12" s="39">
        <v>2</v>
      </c>
      <c r="M12" s="39">
        <v>2</v>
      </c>
      <c r="N12" s="39">
        <v>1</v>
      </c>
      <c r="O12" s="68">
        <f t="shared" si="2"/>
        <v>5</v>
      </c>
      <c r="P12" s="38"/>
      <c r="Q12" s="38"/>
      <c r="R12" s="39">
        <v>1</v>
      </c>
      <c r="S12" s="68">
        <f t="shared" si="3"/>
        <v>1</v>
      </c>
      <c r="T12" s="40">
        <v>21</v>
      </c>
    </row>
    <row r="13" spans="1:20" ht="27.75" thickBot="1" x14ac:dyDescent="0.3">
      <c r="A13" s="315"/>
      <c r="B13" s="308"/>
      <c r="C13" s="37" t="s">
        <v>64</v>
      </c>
      <c r="D13" s="38"/>
      <c r="E13" s="38"/>
      <c r="F13" s="38"/>
      <c r="G13" s="68">
        <f t="shared" si="0"/>
        <v>0</v>
      </c>
      <c r="H13" s="38"/>
      <c r="I13" s="38"/>
      <c r="J13" s="38"/>
      <c r="K13" s="68">
        <f t="shared" si="1"/>
        <v>0</v>
      </c>
      <c r="L13" s="38"/>
      <c r="M13" s="39">
        <v>1</v>
      </c>
      <c r="N13" s="38"/>
      <c r="O13" s="68">
        <f t="shared" si="2"/>
        <v>1</v>
      </c>
      <c r="P13" s="38"/>
      <c r="Q13" s="38"/>
      <c r="R13" s="38"/>
      <c r="S13" s="68">
        <f t="shared" si="3"/>
        <v>0</v>
      </c>
      <c r="T13" s="40">
        <v>1</v>
      </c>
    </row>
    <row r="14" spans="1:20" ht="15.75" thickBot="1" x14ac:dyDescent="0.3">
      <c r="A14" s="315"/>
      <c r="B14" s="308"/>
      <c r="C14" s="42" t="s">
        <v>65</v>
      </c>
      <c r="D14" s="39">
        <v>1</v>
      </c>
      <c r="E14" s="38"/>
      <c r="F14" s="38"/>
      <c r="G14" s="68">
        <f t="shared" si="0"/>
        <v>1</v>
      </c>
      <c r="H14" s="38"/>
      <c r="I14" s="38"/>
      <c r="J14" s="38"/>
      <c r="K14" s="68">
        <f t="shared" si="1"/>
        <v>0</v>
      </c>
      <c r="L14" s="38"/>
      <c r="M14" s="38"/>
      <c r="N14" s="38"/>
      <c r="O14" s="68">
        <f t="shared" si="2"/>
        <v>0</v>
      </c>
      <c r="P14" s="38"/>
      <c r="Q14" s="38"/>
      <c r="R14" s="38"/>
      <c r="S14" s="68">
        <f t="shared" si="3"/>
        <v>0</v>
      </c>
      <c r="T14" s="40">
        <v>1</v>
      </c>
    </row>
    <row r="15" spans="1:20" ht="15.75" thickBot="1" x14ac:dyDescent="0.3">
      <c r="A15" s="315"/>
      <c r="B15" s="308"/>
      <c r="C15" s="42" t="s">
        <v>66</v>
      </c>
      <c r="D15" s="38"/>
      <c r="E15" s="38"/>
      <c r="F15" s="38"/>
      <c r="G15" s="68">
        <f t="shared" si="0"/>
        <v>0</v>
      </c>
      <c r="H15" s="38"/>
      <c r="I15" s="38"/>
      <c r="J15" s="38"/>
      <c r="K15" s="68">
        <f t="shared" si="1"/>
        <v>0</v>
      </c>
      <c r="L15" s="38"/>
      <c r="M15" s="38"/>
      <c r="N15" s="39">
        <v>2</v>
      </c>
      <c r="O15" s="68">
        <f t="shared" si="2"/>
        <v>2</v>
      </c>
      <c r="P15" s="39">
        <v>8</v>
      </c>
      <c r="Q15" s="38"/>
      <c r="R15" s="38"/>
      <c r="S15" s="68">
        <f t="shared" si="3"/>
        <v>8</v>
      </c>
      <c r="T15" s="40">
        <v>10</v>
      </c>
    </row>
    <row r="16" spans="1:20" ht="18.75" thickBot="1" x14ac:dyDescent="0.3">
      <c r="A16" s="316"/>
      <c r="B16" s="309"/>
      <c r="C16" s="42" t="s">
        <v>67</v>
      </c>
      <c r="D16" s="41"/>
      <c r="E16" s="41"/>
      <c r="F16" s="41"/>
      <c r="G16" s="68">
        <f t="shared" si="0"/>
        <v>0</v>
      </c>
      <c r="H16" s="41"/>
      <c r="I16" s="41"/>
      <c r="J16" s="41"/>
      <c r="K16" s="68">
        <f t="shared" si="1"/>
        <v>0</v>
      </c>
      <c r="L16" s="41"/>
      <c r="M16" s="41"/>
      <c r="N16" s="41"/>
      <c r="O16" s="68">
        <f t="shared" si="2"/>
        <v>0</v>
      </c>
      <c r="P16" s="41"/>
      <c r="Q16" s="41"/>
      <c r="R16" s="41"/>
      <c r="S16" s="68">
        <f t="shared" si="3"/>
        <v>0</v>
      </c>
      <c r="T16" s="40">
        <v>0</v>
      </c>
    </row>
    <row r="17" spans="1:20" ht="15.75" thickBot="1" x14ac:dyDescent="0.3">
      <c r="A17" s="71" t="s">
        <v>15</v>
      </c>
      <c r="B17" s="72"/>
      <c r="C17" s="72"/>
      <c r="D17" s="72"/>
      <c r="E17" s="72"/>
      <c r="F17" s="72"/>
      <c r="G17" s="73">
        <f>SUM(G5:G16)</f>
        <v>14</v>
      </c>
      <c r="H17" s="73"/>
      <c r="I17" s="73"/>
      <c r="J17" s="73"/>
      <c r="K17" s="73">
        <f>SUM(K5:K16)</f>
        <v>8</v>
      </c>
      <c r="L17" s="73"/>
      <c r="M17" s="73"/>
      <c r="N17" s="73"/>
      <c r="O17" s="73">
        <f>SUM(O5:O16)</f>
        <v>18</v>
      </c>
      <c r="P17" s="73"/>
      <c r="Q17" s="73"/>
      <c r="R17" s="74"/>
      <c r="S17" s="73">
        <f>SUM(S5:S16)</f>
        <v>10</v>
      </c>
      <c r="T17" s="63">
        <f>SUM(T5:T16)</f>
        <v>50</v>
      </c>
    </row>
    <row r="18" spans="1:20" ht="15.75" thickBot="1" x14ac:dyDescent="0.3">
      <c r="A18" s="314">
        <v>2</v>
      </c>
      <c r="B18" s="295" t="s">
        <v>19</v>
      </c>
      <c r="C18" s="37" t="s">
        <v>56</v>
      </c>
      <c r="D18" s="43"/>
      <c r="E18" s="43"/>
      <c r="F18" s="43"/>
      <c r="G18" s="68">
        <f t="shared" ref="G18:G83" si="4">D18+E18+F18</f>
        <v>0</v>
      </c>
      <c r="H18" s="43"/>
      <c r="I18" s="39">
        <v>2</v>
      </c>
      <c r="J18" s="39">
        <v>1</v>
      </c>
      <c r="K18" s="68">
        <f>H18+I18+J18</f>
        <v>3</v>
      </c>
      <c r="L18" s="43"/>
      <c r="M18" s="43"/>
      <c r="N18" s="43"/>
      <c r="O18" s="68">
        <f>L18+M18+N18</f>
        <v>0</v>
      </c>
      <c r="P18" s="43"/>
      <c r="Q18" s="43"/>
      <c r="R18" s="43"/>
      <c r="S18" s="68">
        <f t="shared" ref="S18:S29" si="5">P18+Q18+R18</f>
        <v>0</v>
      </c>
      <c r="T18" s="40">
        <v>3</v>
      </c>
    </row>
    <row r="19" spans="1:20" ht="18.75" thickBot="1" x14ac:dyDescent="0.3">
      <c r="A19" s="315"/>
      <c r="B19" s="296"/>
      <c r="C19" s="37" t="s">
        <v>57</v>
      </c>
      <c r="D19" s="38"/>
      <c r="E19" s="38"/>
      <c r="F19" s="38"/>
      <c r="G19" s="68">
        <f t="shared" si="4"/>
        <v>0</v>
      </c>
      <c r="H19" s="38"/>
      <c r="I19" s="38"/>
      <c r="J19" s="38"/>
      <c r="K19" s="68">
        <f t="shared" ref="K19:K29" si="6">H19+I19+J19</f>
        <v>0</v>
      </c>
      <c r="L19" s="38"/>
      <c r="M19" s="38"/>
      <c r="N19" s="38"/>
      <c r="O19" s="68">
        <f t="shared" ref="O19:O29" si="7">L19+M19+N19</f>
        <v>0</v>
      </c>
      <c r="P19" s="38"/>
      <c r="Q19" s="38"/>
      <c r="R19" s="38"/>
      <c r="S19" s="68">
        <f t="shared" si="5"/>
        <v>0</v>
      </c>
      <c r="T19" s="40">
        <v>0</v>
      </c>
    </row>
    <row r="20" spans="1:20" ht="18.75" thickBot="1" x14ac:dyDescent="0.3">
      <c r="A20" s="315"/>
      <c r="B20" s="296"/>
      <c r="C20" s="37" t="s">
        <v>58</v>
      </c>
      <c r="D20" s="38"/>
      <c r="E20" s="38"/>
      <c r="F20" s="38"/>
      <c r="G20" s="68">
        <f t="shared" si="4"/>
        <v>0</v>
      </c>
      <c r="H20" s="38"/>
      <c r="I20" s="39">
        <v>3</v>
      </c>
      <c r="J20" s="38"/>
      <c r="K20" s="68">
        <f t="shared" si="6"/>
        <v>3</v>
      </c>
      <c r="L20" s="38"/>
      <c r="M20" s="38"/>
      <c r="N20" s="38"/>
      <c r="O20" s="68">
        <f t="shared" si="7"/>
        <v>0</v>
      </c>
      <c r="P20" s="38"/>
      <c r="Q20" s="38"/>
      <c r="R20" s="38"/>
      <c r="S20" s="68">
        <f t="shared" si="5"/>
        <v>0</v>
      </c>
      <c r="T20" s="40">
        <v>3</v>
      </c>
    </row>
    <row r="21" spans="1:20" ht="18.75" thickBot="1" x14ac:dyDescent="0.3">
      <c r="A21" s="315"/>
      <c r="B21" s="296"/>
      <c r="C21" s="37" t="s">
        <v>59</v>
      </c>
      <c r="D21" s="38"/>
      <c r="E21" s="38"/>
      <c r="F21" s="38"/>
      <c r="G21" s="68">
        <f t="shared" si="4"/>
        <v>0</v>
      </c>
      <c r="H21" s="38"/>
      <c r="I21" s="38"/>
      <c r="J21" s="38"/>
      <c r="K21" s="68">
        <f t="shared" si="6"/>
        <v>0</v>
      </c>
      <c r="L21" s="38"/>
      <c r="M21" s="38"/>
      <c r="N21" s="38"/>
      <c r="O21" s="68">
        <f t="shared" si="7"/>
        <v>0</v>
      </c>
      <c r="P21" s="38"/>
      <c r="Q21" s="38"/>
      <c r="R21" s="38"/>
      <c r="S21" s="68">
        <f t="shared" si="5"/>
        <v>0</v>
      </c>
      <c r="T21" s="40">
        <v>0</v>
      </c>
    </row>
    <row r="22" spans="1:20" ht="18.75" thickBot="1" x14ac:dyDescent="0.3">
      <c r="A22" s="315"/>
      <c r="B22" s="296"/>
      <c r="C22" s="37" t="s">
        <v>60</v>
      </c>
      <c r="D22" s="38"/>
      <c r="E22" s="38"/>
      <c r="F22" s="38"/>
      <c r="G22" s="68">
        <f t="shared" si="4"/>
        <v>0</v>
      </c>
      <c r="H22" s="38"/>
      <c r="I22" s="38"/>
      <c r="J22" s="38"/>
      <c r="K22" s="68">
        <f t="shared" si="6"/>
        <v>0</v>
      </c>
      <c r="L22" s="38"/>
      <c r="M22" s="38"/>
      <c r="N22" s="38"/>
      <c r="O22" s="68">
        <f t="shared" si="7"/>
        <v>0</v>
      </c>
      <c r="P22" s="38"/>
      <c r="Q22" s="38"/>
      <c r="R22" s="38"/>
      <c r="S22" s="68">
        <f t="shared" si="5"/>
        <v>0</v>
      </c>
      <c r="T22" s="40">
        <v>0</v>
      </c>
    </row>
    <row r="23" spans="1:20" ht="18.75" thickBot="1" x14ac:dyDescent="0.3">
      <c r="A23" s="315"/>
      <c r="B23" s="296"/>
      <c r="C23" s="37" t="s">
        <v>61</v>
      </c>
      <c r="D23" s="38"/>
      <c r="E23" s="38"/>
      <c r="F23" s="38"/>
      <c r="G23" s="68">
        <f t="shared" si="4"/>
        <v>0</v>
      </c>
      <c r="H23" s="38"/>
      <c r="I23" s="38"/>
      <c r="J23" s="38"/>
      <c r="K23" s="68">
        <f t="shared" si="6"/>
        <v>0</v>
      </c>
      <c r="L23" s="38"/>
      <c r="M23" s="38"/>
      <c r="N23" s="38"/>
      <c r="O23" s="68">
        <f t="shared" si="7"/>
        <v>0</v>
      </c>
      <c r="P23" s="38"/>
      <c r="Q23" s="38"/>
      <c r="R23" s="38"/>
      <c r="S23" s="68">
        <f t="shared" si="5"/>
        <v>0</v>
      </c>
      <c r="T23" s="40">
        <v>0</v>
      </c>
    </row>
    <row r="24" spans="1:20" ht="18.75" thickBot="1" x14ac:dyDescent="0.3">
      <c r="A24" s="315"/>
      <c r="B24" s="296"/>
      <c r="C24" s="37" t="s">
        <v>62</v>
      </c>
      <c r="D24" s="38"/>
      <c r="E24" s="38"/>
      <c r="F24" s="38"/>
      <c r="G24" s="68">
        <f t="shared" si="4"/>
        <v>0</v>
      </c>
      <c r="H24" s="38"/>
      <c r="I24" s="38"/>
      <c r="J24" s="38"/>
      <c r="K24" s="68">
        <f t="shared" si="6"/>
        <v>0</v>
      </c>
      <c r="L24" s="39">
        <v>1</v>
      </c>
      <c r="M24" s="38"/>
      <c r="N24" s="38"/>
      <c r="O24" s="68">
        <f t="shared" si="7"/>
        <v>1</v>
      </c>
      <c r="P24" s="38"/>
      <c r="Q24" s="38"/>
      <c r="R24" s="38"/>
      <c r="S24" s="68">
        <f t="shared" si="5"/>
        <v>0</v>
      </c>
      <c r="T24" s="40">
        <v>1</v>
      </c>
    </row>
    <row r="25" spans="1:20" ht="18.75" thickBot="1" x14ac:dyDescent="0.3">
      <c r="A25" s="315"/>
      <c r="B25" s="296"/>
      <c r="C25" s="37" t="s">
        <v>63</v>
      </c>
      <c r="D25" s="38"/>
      <c r="E25" s="39">
        <v>2</v>
      </c>
      <c r="F25" s="38"/>
      <c r="G25" s="68">
        <f t="shared" si="4"/>
        <v>2</v>
      </c>
      <c r="H25" s="39">
        <v>1</v>
      </c>
      <c r="I25" s="38"/>
      <c r="J25" s="38"/>
      <c r="K25" s="68">
        <f t="shared" si="6"/>
        <v>1</v>
      </c>
      <c r="L25" s="38"/>
      <c r="M25" s="38"/>
      <c r="N25" s="39">
        <v>1</v>
      </c>
      <c r="O25" s="68">
        <f t="shared" si="7"/>
        <v>1</v>
      </c>
      <c r="P25" s="38"/>
      <c r="Q25" s="38"/>
      <c r="R25" s="38"/>
      <c r="S25" s="68">
        <f t="shared" si="5"/>
        <v>0</v>
      </c>
      <c r="T25" s="40">
        <v>4</v>
      </c>
    </row>
    <row r="26" spans="1:20" ht="27.75" thickBot="1" x14ac:dyDescent="0.3">
      <c r="A26" s="315"/>
      <c r="B26" s="296"/>
      <c r="C26" s="37" t="s">
        <v>64</v>
      </c>
      <c r="D26" s="38"/>
      <c r="E26" s="39">
        <v>1</v>
      </c>
      <c r="F26" s="38"/>
      <c r="G26" s="68">
        <f t="shared" si="4"/>
        <v>1</v>
      </c>
      <c r="H26" s="38"/>
      <c r="I26" s="38"/>
      <c r="J26" s="38"/>
      <c r="K26" s="68">
        <f t="shared" si="6"/>
        <v>0</v>
      </c>
      <c r="L26" s="38"/>
      <c r="M26" s="38"/>
      <c r="N26" s="38"/>
      <c r="O26" s="68">
        <f t="shared" si="7"/>
        <v>0</v>
      </c>
      <c r="P26" s="38"/>
      <c r="Q26" s="38"/>
      <c r="R26" s="38"/>
      <c r="S26" s="68">
        <f t="shared" si="5"/>
        <v>0</v>
      </c>
      <c r="T26" s="40">
        <v>1</v>
      </c>
    </row>
    <row r="27" spans="1:20" ht="15.75" thickBot="1" x14ac:dyDescent="0.3">
      <c r="A27" s="315"/>
      <c r="B27" s="296"/>
      <c r="C27" s="42" t="s">
        <v>65</v>
      </c>
      <c r="D27" s="38"/>
      <c r="E27" s="38"/>
      <c r="F27" s="38"/>
      <c r="G27" s="68">
        <f t="shared" si="4"/>
        <v>0</v>
      </c>
      <c r="H27" s="38"/>
      <c r="I27" s="38"/>
      <c r="J27" s="38"/>
      <c r="K27" s="68">
        <f t="shared" si="6"/>
        <v>0</v>
      </c>
      <c r="L27" s="38"/>
      <c r="M27" s="38"/>
      <c r="N27" s="38"/>
      <c r="O27" s="68">
        <f t="shared" si="7"/>
        <v>0</v>
      </c>
      <c r="P27" s="38"/>
      <c r="Q27" s="38"/>
      <c r="R27" s="38"/>
      <c r="S27" s="68">
        <f t="shared" si="5"/>
        <v>0</v>
      </c>
      <c r="T27" s="40">
        <v>0</v>
      </c>
    </row>
    <row r="28" spans="1:20" ht="15.75" thickBot="1" x14ac:dyDescent="0.3">
      <c r="A28" s="315"/>
      <c r="B28" s="296"/>
      <c r="C28" s="42" t="s">
        <v>66</v>
      </c>
      <c r="D28" s="38"/>
      <c r="E28" s="38"/>
      <c r="F28" s="38"/>
      <c r="G28" s="68">
        <f t="shared" si="4"/>
        <v>0</v>
      </c>
      <c r="H28" s="38"/>
      <c r="I28" s="38"/>
      <c r="J28" s="38"/>
      <c r="K28" s="68">
        <f t="shared" si="6"/>
        <v>0</v>
      </c>
      <c r="L28" s="38"/>
      <c r="M28" s="38"/>
      <c r="N28" s="39">
        <v>1</v>
      </c>
      <c r="O28" s="68">
        <f t="shared" si="7"/>
        <v>1</v>
      </c>
      <c r="P28" s="39">
        <v>1</v>
      </c>
      <c r="Q28" s="38"/>
      <c r="R28" s="38"/>
      <c r="S28" s="68">
        <f t="shared" si="5"/>
        <v>1</v>
      </c>
      <c r="T28" s="40">
        <v>2</v>
      </c>
    </row>
    <row r="29" spans="1:20" ht="18.75" thickBot="1" x14ac:dyDescent="0.3">
      <c r="A29" s="316"/>
      <c r="B29" s="310"/>
      <c r="C29" s="42" t="s">
        <v>67</v>
      </c>
      <c r="D29" s="38"/>
      <c r="E29" s="38"/>
      <c r="F29" s="38"/>
      <c r="G29" s="68">
        <f t="shared" si="4"/>
        <v>0</v>
      </c>
      <c r="H29" s="38"/>
      <c r="I29" s="38"/>
      <c r="J29" s="38"/>
      <c r="K29" s="68">
        <f t="shared" si="6"/>
        <v>0</v>
      </c>
      <c r="L29" s="38"/>
      <c r="M29" s="38"/>
      <c r="N29" s="39">
        <v>16</v>
      </c>
      <c r="O29" s="68">
        <f t="shared" si="7"/>
        <v>16</v>
      </c>
      <c r="P29" s="44">
        <v>11</v>
      </c>
      <c r="Q29" s="38"/>
      <c r="R29" s="38"/>
      <c r="S29" s="68">
        <f t="shared" si="5"/>
        <v>11</v>
      </c>
      <c r="T29" s="40">
        <v>27</v>
      </c>
    </row>
    <row r="30" spans="1:20" ht="15.75" thickBot="1" x14ac:dyDescent="0.3">
      <c r="A30" s="71"/>
      <c r="B30" s="72"/>
      <c r="C30" s="72"/>
      <c r="D30" s="72"/>
      <c r="E30" s="72"/>
      <c r="F30" s="72"/>
      <c r="G30" s="73">
        <f>SUM(G18:G29)</f>
        <v>3</v>
      </c>
      <c r="H30" s="73"/>
      <c r="I30" s="73"/>
      <c r="J30" s="73"/>
      <c r="K30" s="73">
        <f>SUM(K18:K29)</f>
        <v>7</v>
      </c>
      <c r="L30" s="73"/>
      <c r="M30" s="73"/>
      <c r="N30" s="73"/>
      <c r="O30" s="73">
        <f>SUM(O18:O29)</f>
        <v>19</v>
      </c>
      <c r="P30" s="73"/>
      <c r="Q30" s="73"/>
      <c r="R30" s="74"/>
      <c r="S30" s="73">
        <f>SUM(S18:S29)</f>
        <v>12</v>
      </c>
      <c r="T30" s="63">
        <f>SUM(T18:T29)</f>
        <v>41</v>
      </c>
    </row>
    <row r="31" spans="1:20" ht="15.75" thickBot="1" x14ac:dyDescent="0.3">
      <c r="A31" s="314">
        <v>3</v>
      </c>
      <c r="B31" s="295" t="s">
        <v>17</v>
      </c>
      <c r="C31" s="37" t="s">
        <v>56</v>
      </c>
      <c r="D31" s="38"/>
      <c r="E31" s="38"/>
      <c r="F31" s="38"/>
      <c r="G31" s="68">
        <f t="shared" si="4"/>
        <v>0</v>
      </c>
      <c r="H31" s="38"/>
      <c r="I31" s="38"/>
      <c r="J31" s="38"/>
      <c r="K31" s="68">
        <f t="shared" ref="K31:K42" si="8">H31+I31+J31</f>
        <v>0</v>
      </c>
      <c r="L31" s="38"/>
      <c r="M31" s="38"/>
      <c r="N31" s="38"/>
      <c r="O31" s="68">
        <f t="shared" ref="O31:O42" si="9">L31+M31+N31</f>
        <v>0</v>
      </c>
      <c r="P31" s="38"/>
      <c r="Q31" s="38"/>
      <c r="R31" s="38"/>
      <c r="S31" s="68">
        <f t="shared" ref="S31:S55" si="10">P31+Q31+R31</f>
        <v>0</v>
      </c>
      <c r="T31" s="40">
        <v>0</v>
      </c>
    </row>
    <row r="32" spans="1:20" ht="18.75" thickBot="1" x14ac:dyDescent="0.3">
      <c r="A32" s="315"/>
      <c r="B32" s="296"/>
      <c r="C32" s="37" t="s">
        <v>57</v>
      </c>
      <c r="D32" s="38"/>
      <c r="E32" s="38"/>
      <c r="F32" s="38"/>
      <c r="G32" s="68">
        <f t="shared" si="4"/>
        <v>0</v>
      </c>
      <c r="H32" s="38"/>
      <c r="I32" s="38"/>
      <c r="J32" s="38"/>
      <c r="K32" s="68">
        <f t="shared" si="8"/>
        <v>0</v>
      </c>
      <c r="L32" s="38"/>
      <c r="M32" s="38"/>
      <c r="N32" s="38"/>
      <c r="O32" s="68">
        <f t="shared" si="9"/>
        <v>0</v>
      </c>
      <c r="P32" s="38"/>
      <c r="Q32" s="38"/>
      <c r="R32" s="38"/>
      <c r="S32" s="68">
        <f t="shared" si="10"/>
        <v>0</v>
      </c>
      <c r="T32" s="40">
        <v>0</v>
      </c>
    </row>
    <row r="33" spans="1:20" ht="18.75" thickBot="1" x14ac:dyDescent="0.3">
      <c r="A33" s="315"/>
      <c r="B33" s="296"/>
      <c r="C33" s="37" t="s">
        <v>58</v>
      </c>
      <c r="D33" s="38"/>
      <c r="E33" s="38"/>
      <c r="F33" s="39">
        <v>1</v>
      </c>
      <c r="G33" s="68">
        <f t="shared" si="4"/>
        <v>1</v>
      </c>
      <c r="H33" s="38"/>
      <c r="I33" s="38"/>
      <c r="J33" s="38"/>
      <c r="K33" s="68">
        <f t="shared" si="8"/>
        <v>0</v>
      </c>
      <c r="L33" s="38"/>
      <c r="M33" s="38"/>
      <c r="N33" s="38"/>
      <c r="O33" s="68">
        <f t="shared" si="9"/>
        <v>0</v>
      </c>
      <c r="P33" s="38"/>
      <c r="Q33" s="38"/>
      <c r="R33" s="38"/>
      <c r="S33" s="68">
        <f t="shared" si="10"/>
        <v>0</v>
      </c>
      <c r="T33" s="40">
        <v>1</v>
      </c>
    </row>
    <row r="34" spans="1:20" ht="18.75" thickBot="1" x14ac:dyDescent="0.3">
      <c r="A34" s="315"/>
      <c r="B34" s="296"/>
      <c r="C34" s="37" t="s">
        <v>59</v>
      </c>
      <c r="D34" s="38"/>
      <c r="E34" s="38"/>
      <c r="F34" s="38"/>
      <c r="G34" s="68">
        <f t="shared" si="4"/>
        <v>0</v>
      </c>
      <c r="H34" s="38"/>
      <c r="I34" s="38"/>
      <c r="J34" s="38"/>
      <c r="K34" s="68">
        <f t="shared" si="8"/>
        <v>0</v>
      </c>
      <c r="L34" s="38"/>
      <c r="M34" s="38"/>
      <c r="N34" s="38"/>
      <c r="O34" s="68">
        <f t="shared" si="9"/>
        <v>0</v>
      </c>
      <c r="P34" s="38"/>
      <c r="Q34" s="38"/>
      <c r="R34" s="38"/>
      <c r="S34" s="68">
        <f t="shared" si="10"/>
        <v>0</v>
      </c>
      <c r="T34" s="40">
        <v>0</v>
      </c>
    </row>
    <row r="35" spans="1:20" ht="18.75" thickBot="1" x14ac:dyDescent="0.3">
      <c r="A35" s="315"/>
      <c r="B35" s="296"/>
      <c r="C35" s="37" t="s">
        <v>60</v>
      </c>
      <c r="D35" s="38"/>
      <c r="E35" s="38"/>
      <c r="F35" s="38"/>
      <c r="G35" s="68">
        <f t="shared" si="4"/>
        <v>0</v>
      </c>
      <c r="H35" s="38"/>
      <c r="I35" s="38"/>
      <c r="J35" s="38"/>
      <c r="K35" s="68">
        <f t="shared" si="8"/>
        <v>0</v>
      </c>
      <c r="L35" s="38"/>
      <c r="M35" s="38"/>
      <c r="N35" s="38"/>
      <c r="O35" s="68">
        <f t="shared" si="9"/>
        <v>0</v>
      </c>
      <c r="P35" s="38"/>
      <c r="Q35" s="38"/>
      <c r="R35" s="38"/>
      <c r="S35" s="68">
        <f t="shared" si="10"/>
        <v>0</v>
      </c>
      <c r="T35" s="40">
        <v>0</v>
      </c>
    </row>
    <row r="36" spans="1:20" ht="18.75" thickBot="1" x14ac:dyDescent="0.3">
      <c r="A36" s="315"/>
      <c r="B36" s="296"/>
      <c r="C36" s="37" t="s">
        <v>61</v>
      </c>
      <c r="D36" s="38"/>
      <c r="E36" s="38"/>
      <c r="F36" s="38"/>
      <c r="G36" s="68">
        <f t="shared" si="4"/>
        <v>0</v>
      </c>
      <c r="H36" s="38"/>
      <c r="I36" s="38"/>
      <c r="J36" s="38"/>
      <c r="K36" s="68">
        <f t="shared" si="8"/>
        <v>0</v>
      </c>
      <c r="L36" s="38"/>
      <c r="M36" s="38"/>
      <c r="N36" s="38"/>
      <c r="O36" s="68">
        <f t="shared" si="9"/>
        <v>0</v>
      </c>
      <c r="P36" s="38"/>
      <c r="Q36" s="38"/>
      <c r="R36" s="38"/>
      <c r="S36" s="68">
        <f t="shared" si="10"/>
        <v>0</v>
      </c>
      <c r="T36" s="40">
        <v>0</v>
      </c>
    </row>
    <row r="37" spans="1:20" ht="18.75" thickBot="1" x14ac:dyDescent="0.3">
      <c r="A37" s="315"/>
      <c r="B37" s="296"/>
      <c r="C37" s="37" t="s">
        <v>62</v>
      </c>
      <c r="D37" s="38"/>
      <c r="E37" s="39">
        <v>3</v>
      </c>
      <c r="F37" s="38"/>
      <c r="G37" s="68">
        <f t="shared" si="4"/>
        <v>3</v>
      </c>
      <c r="H37" s="39">
        <v>1</v>
      </c>
      <c r="I37" s="38"/>
      <c r="J37" s="39">
        <v>2</v>
      </c>
      <c r="K37" s="68">
        <f t="shared" si="8"/>
        <v>3</v>
      </c>
      <c r="L37" s="38"/>
      <c r="M37" s="39">
        <v>2</v>
      </c>
      <c r="N37" s="39">
        <v>4</v>
      </c>
      <c r="O37" s="68">
        <f t="shared" si="9"/>
        <v>6</v>
      </c>
      <c r="P37" s="39">
        <v>4</v>
      </c>
      <c r="Q37" s="39">
        <v>1</v>
      </c>
      <c r="R37" s="38"/>
      <c r="S37" s="68">
        <f t="shared" si="10"/>
        <v>5</v>
      </c>
      <c r="T37" s="40">
        <v>17</v>
      </c>
    </row>
    <row r="38" spans="1:20" ht="18.75" thickBot="1" x14ac:dyDescent="0.3">
      <c r="A38" s="315"/>
      <c r="B38" s="296"/>
      <c r="C38" s="37" t="s">
        <v>63</v>
      </c>
      <c r="D38" s="39">
        <v>1</v>
      </c>
      <c r="E38" s="38"/>
      <c r="F38" s="38"/>
      <c r="G38" s="68">
        <f t="shared" si="4"/>
        <v>1</v>
      </c>
      <c r="H38" s="38"/>
      <c r="I38" s="38"/>
      <c r="J38" s="38"/>
      <c r="K38" s="68">
        <f t="shared" si="8"/>
        <v>0</v>
      </c>
      <c r="L38" s="38"/>
      <c r="M38" s="38"/>
      <c r="N38" s="39">
        <v>2</v>
      </c>
      <c r="O38" s="68">
        <f t="shared" si="9"/>
        <v>2</v>
      </c>
      <c r="P38" s="38"/>
      <c r="Q38" s="38"/>
      <c r="R38" s="38"/>
      <c r="S38" s="68">
        <f t="shared" si="10"/>
        <v>0</v>
      </c>
      <c r="T38" s="40">
        <v>3</v>
      </c>
    </row>
    <row r="39" spans="1:20" ht="27.75" thickBot="1" x14ac:dyDescent="0.3">
      <c r="A39" s="315"/>
      <c r="B39" s="296"/>
      <c r="C39" s="37" t="s">
        <v>64</v>
      </c>
      <c r="D39" s="38"/>
      <c r="E39" s="38"/>
      <c r="F39" s="38"/>
      <c r="G39" s="68">
        <f t="shared" si="4"/>
        <v>0</v>
      </c>
      <c r="H39" s="38"/>
      <c r="I39" s="38"/>
      <c r="J39" s="38"/>
      <c r="K39" s="68">
        <f t="shared" si="8"/>
        <v>0</v>
      </c>
      <c r="L39" s="38"/>
      <c r="M39" s="38"/>
      <c r="N39" s="38"/>
      <c r="O39" s="68">
        <f t="shared" si="9"/>
        <v>0</v>
      </c>
      <c r="P39" s="38"/>
      <c r="Q39" s="38"/>
      <c r="R39" s="38"/>
      <c r="S39" s="68">
        <f t="shared" si="10"/>
        <v>0</v>
      </c>
      <c r="T39" s="40">
        <v>0</v>
      </c>
    </row>
    <row r="40" spans="1:20" ht="15.75" thickBot="1" x14ac:dyDescent="0.3">
      <c r="A40" s="315"/>
      <c r="B40" s="296"/>
      <c r="C40" s="42" t="s">
        <v>65</v>
      </c>
      <c r="D40" s="38"/>
      <c r="E40" s="38"/>
      <c r="F40" s="38"/>
      <c r="G40" s="68">
        <f t="shared" si="4"/>
        <v>0</v>
      </c>
      <c r="H40" s="38"/>
      <c r="I40" s="38"/>
      <c r="J40" s="38"/>
      <c r="K40" s="68">
        <f t="shared" si="8"/>
        <v>0</v>
      </c>
      <c r="L40" s="38"/>
      <c r="M40" s="38"/>
      <c r="N40" s="38"/>
      <c r="O40" s="68">
        <f t="shared" si="9"/>
        <v>0</v>
      </c>
      <c r="P40" s="38"/>
      <c r="Q40" s="38"/>
      <c r="R40" s="38"/>
      <c r="S40" s="68">
        <f t="shared" si="10"/>
        <v>0</v>
      </c>
      <c r="T40" s="40">
        <v>0</v>
      </c>
    </row>
    <row r="41" spans="1:20" ht="15.75" thickBot="1" x14ac:dyDescent="0.3">
      <c r="A41" s="315"/>
      <c r="B41" s="296"/>
      <c r="C41" s="42" t="s">
        <v>66</v>
      </c>
      <c r="D41" s="38"/>
      <c r="E41" s="38"/>
      <c r="F41" s="38"/>
      <c r="G41" s="68">
        <f t="shared" si="4"/>
        <v>0</v>
      </c>
      <c r="H41" s="38"/>
      <c r="I41" s="38"/>
      <c r="J41" s="38"/>
      <c r="K41" s="68">
        <f t="shared" si="8"/>
        <v>0</v>
      </c>
      <c r="L41" s="38"/>
      <c r="M41" s="38"/>
      <c r="N41" s="39">
        <v>4</v>
      </c>
      <c r="O41" s="68">
        <f t="shared" si="9"/>
        <v>4</v>
      </c>
      <c r="P41" s="39">
        <v>4</v>
      </c>
      <c r="Q41" s="38"/>
      <c r="R41" s="38"/>
      <c r="S41" s="68">
        <f t="shared" si="10"/>
        <v>4</v>
      </c>
      <c r="T41" s="40">
        <v>8</v>
      </c>
    </row>
    <row r="42" spans="1:20" ht="18.75" thickBot="1" x14ac:dyDescent="0.3">
      <c r="A42" s="316"/>
      <c r="B42" s="310"/>
      <c r="C42" s="42" t="s">
        <v>67</v>
      </c>
      <c r="D42" s="38"/>
      <c r="E42" s="38"/>
      <c r="F42" s="38"/>
      <c r="G42" s="68">
        <f t="shared" si="4"/>
        <v>0</v>
      </c>
      <c r="H42" s="38"/>
      <c r="I42" s="38"/>
      <c r="J42" s="38"/>
      <c r="K42" s="68">
        <f t="shared" si="8"/>
        <v>0</v>
      </c>
      <c r="L42" s="38"/>
      <c r="M42" s="38"/>
      <c r="N42" s="38"/>
      <c r="O42" s="68">
        <f t="shared" si="9"/>
        <v>0</v>
      </c>
      <c r="P42" s="38"/>
      <c r="Q42" s="38"/>
      <c r="R42" s="38"/>
      <c r="S42" s="68">
        <f t="shared" si="10"/>
        <v>0</v>
      </c>
      <c r="T42" s="40">
        <v>0</v>
      </c>
    </row>
    <row r="43" spans="1:20" ht="15.75" thickBot="1" x14ac:dyDescent="0.3">
      <c r="A43" s="71"/>
      <c r="B43" s="72"/>
      <c r="C43" s="72"/>
      <c r="D43" s="72"/>
      <c r="E43" s="72"/>
      <c r="F43" s="72"/>
      <c r="G43" s="73">
        <f>SUM(G31:G42)</f>
        <v>5</v>
      </c>
      <c r="H43" s="73"/>
      <c r="I43" s="73"/>
      <c r="J43" s="73"/>
      <c r="K43" s="73">
        <f>SUM(K31:K42)</f>
        <v>3</v>
      </c>
      <c r="L43" s="73"/>
      <c r="M43" s="73"/>
      <c r="N43" s="73"/>
      <c r="O43" s="73">
        <f>SUM(O31:O42)</f>
        <v>12</v>
      </c>
      <c r="P43" s="73"/>
      <c r="Q43" s="73"/>
      <c r="R43" s="74"/>
      <c r="S43" s="73">
        <f>SUM(S31:S42)</f>
        <v>9</v>
      </c>
      <c r="T43" s="63">
        <f>SUM(T31:T42)</f>
        <v>29</v>
      </c>
    </row>
    <row r="44" spans="1:20" ht="15.75" thickBot="1" x14ac:dyDescent="0.3">
      <c r="A44" s="314">
        <v>4</v>
      </c>
      <c r="B44" s="295" t="s">
        <v>20</v>
      </c>
      <c r="C44" s="37" t="s">
        <v>56</v>
      </c>
      <c r="D44" s="38"/>
      <c r="E44" s="38"/>
      <c r="F44" s="38"/>
      <c r="G44" s="68">
        <f t="shared" si="4"/>
        <v>0</v>
      </c>
      <c r="H44" s="38"/>
      <c r="I44" s="38"/>
      <c r="J44" s="38"/>
      <c r="K44" s="68">
        <f t="shared" ref="K44:K55" si="11">H44+I44+J44</f>
        <v>0</v>
      </c>
      <c r="L44" s="38"/>
      <c r="M44" s="38"/>
      <c r="N44" s="38"/>
      <c r="O44" s="68">
        <f t="shared" ref="O44:O55" si="12">L44+M44+N44</f>
        <v>0</v>
      </c>
      <c r="P44" s="38"/>
      <c r="Q44" s="38"/>
      <c r="R44" s="38"/>
      <c r="S44" s="68">
        <f t="shared" si="10"/>
        <v>0</v>
      </c>
      <c r="T44" s="40">
        <v>0</v>
      </c>
    </row>
    <row r="45" spans="1:20" ht="18.75" thickBot="1" x14ac:dyDescent="0.3">
      <c r="A45" s="315"/>
      <c r="B45" s="296"/>
      <c r="C45" s="37" t="s">
        <v>57</v>
      </c>
      <c r="D45" s="38"/>
      <c r="E45" s="38"/>
      <c r="F45" s="38"/>
      <c r="G45" s="68">
        <f t="shared" si="4"/>
        <v>0</v>
      </c>
      <c r="H45" s="38"/>
      <c r="I45" s="38"/>
      <c r="J45" s="38"/>
      <c r="K45" s="68">
        <f t="shared" si="11"/>
        <v>0</v>
      </c>
      <c r="L45" s="38"/>
      <c r="M45" s="38"/>
      <c r="N45" s="38"/>
      <c r="O45" s="68">
        <f t="shared" si="12"/>
        <v>0</v>
      </c>
      <c r="P45" s="38"/>
      <c r="Q45" s="38"/>
      <c r="R45" s="38"/>
      <c r="S45" s="68">
        <f t="shared" si="10"/>
        <v>0</v>
      </c>
      <c r="T45" s="40">
        <v>0</v>
      </c>
    </row>
    <row r="46" spans="1:20" ht="18.75" thickBot="1" x14ac:dyDescent="0.3">
      <c r="A46" s="315"/>
      <c r="B46" s="296"/>
      <c r="C46" s="37" t="s">
        <v>58</v>
      </c>
      <c r="D46" s="38"/>
      <c r="E46" s="38"/>
      <c r="F46" s="38"/>
      <c r="G46" s="68">
        <f t="shared" si="4"/>
        <v>0</v>
      </c>
      <c r="H46" s="38"/>
      <c r="I46" s="38"/>
      <c r="J46" s="38"/>
      <c r="K46" s="68">
        <f t="shared" si="11"/>
        <v>0</v>
      </c>
      <c r="L46" s="38"/>
      <c r="M46" s="38"/>
      <c r="N46" s="38"/>
      <c r="O46" s="68">
        <f t="shared" si="12"/>
        <v>0</v>
      </c>
      <c r="P46" s="38"/>
      <c r="Q46" s="38"/>
      <c r="R46" s="38"/>
      <c r="S46" s="68">
        <f t="shared" si="10"/>
        <v>0</v>
      </c>
      <c r="T46" s="40">
        <v>0</v>
      </c>
    </row>
    <row r="47" spans="1:20" ht="18.75" thickBot="1" x14ac:dyDescent="0.3">
      <c r="A47" s="315"/>
      <c r="B47" s="296"/>
      <c r="C47" s="37" t="s">
        <v>59</v>
      </c>
      <c r="D47" s="38"/>
      <c r="E47" s="38"/>
      <c r="F47" s="38"/>
      <c r="G47" s="68">
        <f t="shared" si="4"/>
        <v>0</v>
      </c>
      <c r="H47" s="38"/>
      <c r="I47" s="38"/>
      <c r="J47" s="38"/>
      <c r="K47" s="68">
        <f t="shared" si="11"/>
        <v>0</v>
      </c>
      <c r="L47" s="38"/>
      <c r="M47" s="38"/>
      <c r="N47" s="38"/>
      <c r="O47" s="68">
        <f t="shared" si="12"/>
        <v>0</v>
      </c>
      <c r="P47" s="38"/>
      <c r="Q47" s="38"/>
      <c r="R47" s="38"/>
      <c r="S47" s="68">
        <f t="shared" si="10"/>
        <v>0</v>
      </c>
      <c r="T47" s="40">
        <v>0</v>
      </c>
    </row>
    <row r="48" spans="1:20" ht="18.75" thickBot="1" x14ac:dyDescent="0.3">
      <c r="A48" s="315"/>
      <c r="B48" s="296"/>
      <c r="C48" s="37" t="s">
        <v>60</v>
      </c>
      <c r="D48" s="38"/>
      <c r="E48" s="38"/>
      <c r="F48" s="38"/>
      <c r="G48" s="68">
        <f t="shared" si="4"/>
        <v>0</v>
      </c>
      <c r="H48" s="38"/>
      <c r="I48" s="38"/>
      <c r="J48" s="38"/>
      <c r="K48" s="68">
        <f t="shared" si="11"/>
        <v>0</v>
      </c>
      <c r="L48" s="38"/>
      <c r="M48" s="38"/>
      <c r="N48" s="38"/>
      <c r="O48" s="68">
        <f t="shared" si="12"/>
        <v>0</v>
      </c>
      <c r="P48" s="38"/>
      <c r="Q48" s="38"/>
      <c r="R48" s="38"/>
      <c r="S48" s="68">
        <f t="shared" si="10"/>
        <v>0</v>
      </c>
      <c r="T48" s="40">
        <v>0</v>
      </c>
    </row>
    <row r="49" spans="1:20" ht="18.75" thickBot="1" x14ac:dyDescent="0.3">
      <c r="A49" s="315"/>
      <c r="B49" s="296"/>
      <c r="C49" s="37" t="s">
        <v>61</v>
      </c>
      <c r="D49" s="38"/>
      <c r="E49" s="38"/>
      <c r="F49" s="38"/>
      <c r="G49" s="68">
        <f t="shared" si="4"/>
        <v>0</v>
      </c>
      <c r="H49" s="38"/>
      <c r="I49" s="38"/>
      <c r="J49" s="38"/>
      <c r="K49" s="68">
        <f t="shared" si="11"/>
        <v>0</v>
      </c>
      <c r="L49" s="38"/>
      <c r="M49" s="38"/>
      <c r="N49" s="38"/>
      <c r="O49" s="68">
        <f t="shared" si="12"/>
        <v>0</v>
      </c>
      <c r="P49" s="38"/>
      <c r="Q49" s="38"/>
      <c r="R49" s="38"/>
      <c r="S49" s="68">
        <f t="shared" si="10"/>
        <v>0</v>
      </c>
      <c r="T49" s="40">
        <v>0</v>
      </c>
    </row>
    <row r="50" spans="1:20" ht="18.75" thickBot="1" x14ac:dyDescent="0.3">
      <c r="A50" s="315"/>
      <c r="B50" s="296"/>
      <c r="C50" s="37" t="s">
        <v>62</v>
      </c>
      <c r="D50" s="39">
        <v>2</v>
      </c>
      <c r="E50" s="38"/>
      <c r="F50" s="38"/>
      <c r="G50" s="68">
        <f t="shared" si="4"/>
        <v>2</v>
      </c>
      <c r="H50" s="38"/>
      <c r="I50" s="39">
        <v>1</v>
      </c>
      <c r="J50" s="38"/>
      <c r="K50" s="68">
        <f t="shared" si="11"/>
        <v>1</v>
      </c>
      <c r="L50" s="38"/>
      <c r="M50" s="39">
        <v>8</v>
      </c>
      <c r="N50" s="39">
        <v>5</v>
      </c>
      <c r="O50" s="68">
        <f t="shared" si="12"/>
        <v>13</v>
      </c>
      <c r="P50" s="39">
        <v>3</v>
      </c>
      <c r="Q50" s="39">
        <v>3</v>
      </c>
      <c r="R50" s="39">
        <v>7</v>
      </c>
      <c r="S50" s="68">
        <f t="shared" si="10"/>
        <v>13</v>
      </c>
      <c r="T50" s="40">
        <v>29</v>
      </c>
    </row>
    <row r="51" spans="1:20" ht="18.75" thickBot="1" x14ac:dyDescent="0.3">
      <c r="A51" s="315"/>
      <c r="B51" s="296"/>
      <c r="C51" s="37" t="s">
        <v>63</v>
      </c>
      <c r="D51" s="39">
        <v>1</v>
      </c>
      <c r="E51" s="41"/>
      <c r="F51" s="41"/>
      <c r="G51" s="68">
        <f t="shared" si="4"/>
        <v>1</v>
      </c>
      <c r="H51" s="41"/>
      <c r="I51" s="41"/>
      <c r="J51" s="41"/>
      <c r="K51" s="68">
        <f t="shared" si="11"/>
        <v>0</v>
      </c>
      <c r="L51" s="41"/>
      <c r="M51" s="41"/>
      <c r="N51" s="39">
        <v>1</v>
      </c>
      <c r="O51" s="68">
        <f t="shared" si="12"/>
        <v>1</v>
      </c>
      <c r="P51" s="41"/>
      <c r="Q51" s="39">
        <v>1</v>
      </c>
      <c r="R51" s="39">
        <v>1</v>
      </c>
      <c r="S51" s="68">
        <f t="shared" si="10"/>
        <v>2</v>
      </c>
      <c r="T51" s="40">
        <v>4</v>
      </c>
    </row>
    <row r="52" spans="1:20" ht="27.75" thickBot="1" x14ac:dyDescent="0.3">
      <c r="A52" s="315"/>
      <c r="B52" s="296"/>
      <c r="C52" s="37" t="s">
        <v>64</v>
      </c>
      <c r="D52" s="41"/>
      <c r="E52" s="39">
        <v>2</v>
      </c>
      <c r="F52" s="41"/>
      <c r="G52" s="68">
        <f t="shared" si="4"/>
        <v>2</v>
      </c>
      <c r="H52" s="41"/>
      <c r="I52" s="41"/>
      <c r="J52" s="39">
        <v>1</v>
      </c>
      <c r="K52" s="68">
        <f t="shared" si="11"/>
        <v>1</v>
      </c>
      <c r="L52" s="41"/>
      <c r="M52" s="41"/>
      <c r="N52" s="41"/>
      <c r="O52" s="68">
        <f t="shared" si="12"/>
        <v>0</v>
      </c>
      <c r="P52" s="39">
        <v>1</v>
      </c>
      <c r="Q52" s="41"/>
      <c r="R52" s="41"/>
      <c r="S52" s="68">
        <f t="shared" si="10"/>
        <v>1</v>
      </c>
      <c r="T52" s="40">
        <v>4</v>
      </c>
    </row>
    <row r="53" spans="1:20" ht="15.75" thickBot="1" x14ac:dyDescent="0.3">
      <c r="A53" s="315"/>
      <c r="B53" s="296"/>
      <c r="C53" s="42" t="s">
        <v>65</v>
      </c>
      <c r="D53" s="38"/>
      <c r="E53" s="38"/>
      <c r="F53" s="38"/>
      <c r="G53" s="68">
        <f t="shared" si="4"/>
        <v>0</v>
      </c>
      <c r="H53" s="38"/>
      <c r="I53" s="38"/>
      <c r="J53" s="38"/>
      <c r="K53" s="68">
        <f t="shared" si="11"/>
        <v>0</v>
      </c>
      <c r="L53" s="38"/>
      <c r="M53" s="38"/>
      <c r="N53" s="38"/>
      <c r="O53" s="68">
        <f t="shared" si="12"/>
        <v>0</v>
      </c>
      <c r="P53" s="38"/>
      <c r="Q53" s="38"/>
      <c r="R53" s="38"/>
      <c r="S53" s="68">
        <f t="shared" si="10"/>
        <v>0</v>
      </c>
      <c r="T53" s="40">
        <v>0</v>
      </c>
    </row>
    <row r="54" spans="1:20" ht="15.75" thickBot="1" x14ac:dyDescent="0.3">
      <c r="A54" s="315"/>
      <c r="B54" s="296"/>
      <c r="C54" s="42" t="s">
        <v>66</v>
      </c>
      <c r="D54" s="38"/>
      <c r="E54" s="38"/>
      <c r="F54" s="38"/>
      <c r="G54" s="68">
        <f t="shared" si="4"/>
        <v>0</v>
      </c>
      <c r="H54" s="38"/>
      <c r="I54" s="38"/>
      <c r="J54" s="38"/>
      <c r="K54" s="68">
        <f t="shared" si="11"/>
        <v>0</v>
      </c>
      <c r="L54" s="38"/>
      <c r="M54" s="38"/>
      <c r="N54" s="39">
        <v>1</v>
      </c>
      <c r="O54" s="68">
        <f t="shared" si="12"/>
        <v>1</v>
      </c>
      <c r="P54" s="38"/>
      <c r="Q54" s="38"/>
      <c r="R54" s="38"/>
      <c r="S54" s="68">
        <f t="shared" si="10"/>
        <v>0</v>
      </c>
      <c r="T54" s="40">
        <v>1</v>
      </c>
    </row>
    <row r="55" spans="1:20" ht="18.75" thickBot="1" x14ac:dyDescent="0.3">
      <c r="A55" s="316"/>
      <c r="B55" s="310"/>
      <c r="C55" s="42" t="s">
        <v>67</v>
      </c>
      <c r="D55" s="38"/>
      <c r="E55" s="38"/>
      <c r="F55" s="38"/>
      <c r="G55" s="68">
        <f t="shared" si="4"/>
        <v>0</v>
      </c>
      <c r="H55" s="38"/>
      <c r="I55" s="38"/>
      <c r="J55" s="38"/>
      <c r="K55" s="68">
        <f t="shared" si="11"/>
        <v>0</v>
      </c>
      <c r="L55" s="38"/>
      <c r="M55" s="38"/>
      <c r="N55" s="39">
        <v>7</v>
      </c>
      <c r="O55" s="68">
        <f t="shared" si="12"/>
        <v>7</v>
      </c>
      <c r="P55" s="38"/>
      <c r="Q55" s="38"/>
      <c r="R55" s="38"/>
      <c r="S55" s="68">
        <f t="shared" si="10"/>
        <v>0</v>
      </c>
      <c r="T55" s="40">
        <v>7</v>
      </c>
    </row>
    <row r="56" spans="1:20" ht="15.75" thickBot="1" x14ac:dyDescent="0.3">
      <c r="A56" s="71"/>
      <c r="B56" s="72"/>
      <c r="C56" s="72"/>
      <c r="D56" s="72"/>
      <c r="E56" s="72"/>
      <c r="F56" s="72"/>
      <c r="G56" s="73">
        <f>SUM(G44:G55)</f>
        <v>5</v>
      </c>
      <c r="H56" s="73"/>
      <c r="I56" s="73"/>
      <c r="J56" s="73"/>
      <c r="K56" s="73">
        <f>SUM(K44:K55)</f>
        <v>2</v>
      </c>
      <c r="L56" s="73"/>
      <c r="M56" s="73"/>
      <c r="N56" s="73"/>
      <c r="O56" s="73">
        <f>SUM(O44:O55)</f>
        <v>22</v>
      </c>
      <c r="P56" s="73"/>
      <c r="Q56" s="73"/>
      <c r="R56" s="74"/>
      <c r="S56" s="73">
        <f>SUM(S44:S55)</f>
        <v>16</v>
      </c>
      <c r="T56" s="63">
        <f>SUM(T44:T55)</f>
        <v>45</v>
      </c>
    </row>
    <row r="57" spans="1:20" ht="15.75" thickBot="1" x14ac:dyDescent="0.3">
      <c r="A57" s="314">
        <v>5</v>
      </c>
      <c r="B57" s="307" t="s">
        <v>21</v>
      </c>
      <c r="C57" s="37" t="s">
        <v>56</v>
      </c>
      <c r="D57" s="38"/>
      <c r="E57" s="38"/>
      <c r="F57" s="38"/>
      <c r="G57" s="68">
        <f t="shared" si="4"/>
        <v>0</v>
      </c>
      <c r="H57" s="38"/>
      <c r="I57" s="38"/>
      <c r="J57" s="38"/>
      <c r="K57" s="68">
        <f t="shared" ref="K57:K68" si="13">H57+I57+J57</f>
        <v>0</v>
      </c>
      <c r="L57" s="38"/>
      <c r="M57" s="38"/>
      <c r="N57" s="38"/>
      <c r="O57" s="68">
        <f t="shared" ref="O57:O68" si="14">L57+M57+N57</f>
        <v>0</v>
      </c>
      <c r="P57" s="38"/>
      <c r="Q57" s="38"/>
      <c r="R57" s="38"/>
      <c r="S57" s="68">
        <f t="shared" ref="S57:S68" si="15">P57+Q57+R57</f>
        <v>0</v>
      </c>
      <c r="T57" s="40">
        <v>0</v>
      </c>
    </row>
    <row r="58" spans="1:20" ht="18.75" thickBot="1" x14ac:dyDescent="0.3">
      <c r="A58" s="315"/>
      <c r="B58" s="308"/>
      <c r="C58" s="37" t="s">
        <v>57</v>
      </c>
      <c r="D58" s="38"/>
      <c r="E58" s="38"/>
      <c r="F58" s="38"/>
      <c r="G58" s="68">
        <f t="shared" si="4"/>
        <v>0</v>
      </c>
      <c r="H58" s="38"/>
      <c r="I58" s="38"/>
      <c r="J58" s="38"/>
      <c r="K58" s="68">
        <f t="shared" si="13"/>
        <v>0</v>
      </c>
      <c r="L58" s="38"/>
      <c r="M58" s="38"/>
      <c r="N58" s="38"/>
      <c r="O58" s="68">
        <f t="shared" si="14"/>
        <v>0</v>
      </c>
      <c r="P58" s="38"/>
      <c r="Q58" s="38"/>
      <c r="R58" s="38"/>
      <c r="S58" s="68">
        <f t="shared" si="15"/>
        <v>0</v>
      </c>
      <c r="T58" s="40">
        <v>0</v>
      </c>
    </row>
    <row r="59" spans="1:20" ht="18.75" thickBot="1" x14ac:dyDescent="0.3">
      <c r="A59" s="315"/>
      <c r="B59" s="308"/>
      <c r="C59" s="37" t="s">
        <v>58</v>
      </c>
      <c r="D59" s="38"/>
      <c r="E59" s="38"/>
      <c r="F59" s="38"/>
      <c r="G59" s="68">
        <f t="shared" si="4"/>
        <v>0</v>
      </c>
      <c r="H59" s="38"/>
      <c r="I59" s="38"/>
      <c r="J59" s="38"/>
      <c r="K59" s="68">
        <f t="shared" si="13"/>
        <v>0</v>
      </c>
      <c r="L59" s="38"/>
      <c r="M59" s="38"/>
      <c r="N59" s="38"/>
      <c r="O59" s="68">
        <f t="shared" si="14"/>
        <v>0</v>
      </c>
      <c r="P59" s="38"/>
      <c r="Q59" s="38"/>
      <c r="R59" s="38"/>
      <c r="S59" s="68">
        <f t="shared" si="15"/>
        <v>0</v>
      </c>
      <c r="T59" s="40">
        <v>0</v>
      </c>
    </row>
    <row r="60" spans="1:20" ht="18.75" thickBot="1" x14ac:dyDescent="0.3">
      <c r="A60" s="315"/>
      <c r="B60" s="308"/>
      <c r="C60" s="37" t="s">
        <v>59</v>
      </c>
      <c r="D60" s="38"/>
      <c r="E60" s="38"/>
      <c r="F60" s="38"/>
      <c r="G60" s="68">
        <f t="shared" si="4"/>
        <v>0</v>
      </c>
      <c r="H60" s="38"/>
      <c r="I60" s="38"/>
      <c r="J60" s="38"/>
      <c r="K60" s="68">
        <f t="shared" si="13"/>
        <v>0</v>
      </c>
      <c r="L60" s="38"/>
      <c r="M60" s="38"/>
      <c r="N60" s="38"/>
      <c r="O60" s="68">
        <f t="shared" si="14"/>
        <v>0</v>
      </c>
      <c r="P60" s="38"/>
      <c r="Q60" s="38"/>
      <c r="R60" s="38"/>
      <c r="S60" s="68">
        <f t="shared" si="15"/>
        <v>0</v>
      </c>
      <c r="T60" s="40">
        <v>0</v>
      </c>
    </row>
    <row r="61" spans="1:20" ht="18.75" thickBot="1" x14ac:dyDescent="0.3">
      <c r="A61" s="315"/>
      <c r="B61" s="308"/>
      <c r="C61" s="37" t="s">
        <v>60</v>
      </c>
      <c r="D61" s="38"/>
      <c r="E61" s="38"/>
      <c r="F61" s="38"/>
      <c r="G61" s="68">
        <f t="shared" si="4"/>
        <v>0</v>
      </c>
      <c r="H61" s="38"/>
      <c r="I61" s="38"/>
      <c r="J61" s="38"/>
      <c r="K61" s="68">
        <f t="shared" si="13"/>
        <v>0</v>
      </c>
      <c r="L61" s="38"/>
      <c r="M61" s="38"/>
      <c r="N61" s="38"/>
      <c r="O61" s="68">
        <f t="shared" si="14"/>
        <v>0</v>
      </c>
      <c r="P61" s="38"/>
      <c r="Q61" s="38"/>
      <c r="R61" s="38"/>
      <c r="S61" s="68">
        <f t="shared" si="15"/>
        <v>0</v>
      </c>
      <c r="T61" s="40">
        <v>0</v>
      </c>
    </row>
    <row r="62" spans="1:20" ht="18.75" thickBot="1" x14ac:dyDescent="0.3">
      <c r="A62" s="315"/>
      <c r="B62" s="308"/>
      <c r="C62" s="37" t="s">
        <v>61</v>
      </c>
      <c r="D62" s="38"/>
      <c r="E62" s="38"/>
      <c r="F62" s="38"/>
      <c r="G62" s="68">
        <f t="shared" si="4"/>
        <v>0</v>
      </c>
      <c r="H62" s="38"/>
      <c r="I62" s="38"/>
      <c r="J62" s="38"/>
      <c r="K62" s="68">
        <f t="shared" si="13"/>
        <v>0</v>
      </c>
      <c r="L62" s="38"/>
      <c r="M62" s="38"/>
      <c r="N62" s="38"/>
      <c r="O62" s="68">
        <f t="shared" si="14"/>
        <v>0</v>
      </c>
      <c r="P62" s="38"/>
      <c r="Q62" s="38"/>
      <c r="R62" s="38"/>
      <c r="S62" s="68">
        <f t="shared" si="15"/>
        <v>0</v>
      </c>
      <c r="T62" s="40">
        <v>0</v>
      </c>
    </row>
    <row r="63" spans="1:20" ht="18.75" thickBot="1" x14ac:dyDescent="0.3">
      <c r="A63" s="315"/>
      <c r="B63" s="308"/>
      <c r="C63" s="37" t="s">
        <v>62</v>
      </c>
      <c r="D63" s="38"/>
      <c r="E63" s="38"/>
      <c r="F63" s="39">
        <v>1</v>
      </c>
      <c r="G63" s="68">
        <f t="shared" si="4"/>
        <v>1</v>
      </c>
      <c r="H63" s="39">
        <v>2</v>
      </c>
      <c r="I63" s="38"/>
      <c r="J63" s="38"/>
      <c r="K63" s="68">
        <f t="shared" si="13"/>
        <v>2</v>
      </c>
      <c r="L63" s="38"/>
      <c r="M63" s="38"/>
      <c r="N63" s="39">
        <v>5</v>
      </c>
      <c r="O63" s="68">
        <f t="shared" si="14"/>
        <v>5</v>
      </c>
      <c r="P63" s="39">
        <v>3</v>
      </c>
      <c r="Q63" s="39">
        <v>1</v>
      </c>
      <c r="R63" s="38"/>
      <c r="S63" s="68">
        <f t="shared" si="15"/>
        <v>4</v>
      </c>
      <c r="T63" s="40">
        <v>12</v>
      </c>
    </row>
    <row r="64" spans="1:20" ht="18.75" thickBot="1" x14ac:dyDescent="0.3">
      <c r="A64" s="315"/>
      <c r="B64" s="308"/>
      <c r="C64" s="37" t="s">
        <v>63</v>
      </c>
      <c r="D64" s="39">
        <v>1</v>
      </c>
      <c r="E64" s="39">
        <v>10</v>
      </c>
      <c r="F64" s="39">
        <v>2</v>
      </c>
      <c r="G64" s="68">
        <f t="shared" si="4"/>
        <v>13</v>
      </c>
      <c r="H64" s="39">
        <v>2</v>
      </c>
      <c r="I64" s="38"/>
      <c r="J64" s="38"/>
      <c r="K64" s="68">
        <f t="shared" si="13"/>
        <v>2</v>
      </c>
      <c r="L64" s="38"/>
      <c r="M64" s="38"/>
      <c r="N64" s="39">
        <v>5</v>
      </c>
      <c r="O64" s="68">
        <f t="shared" si="14"/>
        <v>5</v>
      </c>
      <c r="P64" s="39">
        <v>2</v>
      </c>
      <c r="Q64" s="38"/>
      <c r="R64" s="38"/>
      <c r="S64" s="68">
        <f t="shared" si="15"/>
        <v>2</v>
      </c>
      <c r="T64" s="40">
        <v>22</v>
      </c>
    </row>
    <row r="65" spans="1:20" ht="27.75" thickBot="1" x14ac:dyDescent="0.3">
      <c r="A65" s="315"/>
      <c r="B65" s="308"/>
      <c r="C65" s="37" t="s">
        <v>64</v>
      </c>
      <c r="D65" s="39">
        <v>5</v>
      </c>
      <c r="E65" s="39">
        <v>7</v>
      </c>
      <c r="F65" s="38"/>
      <c r="G65" s="68">
        <f t="shared" si="4"/>
        <v>12</v>
      </c>
      <c r="H65" s="38"/>
      <c r="I65" s="38"/>
      <c r="J65" s="38"/>
      <c r="K65" s="68">
        <f t="shared" si="13"/>
        <v>0</v>
      </c>
      <c r="L65" s="38"/>
      <c r="M65" s="38"/>
      <c r="N65" s="39">
        <v>1</v>
      </c>
      <c r="O65" s="68">
        <f t="shared" si="14"/>
        <v>1</v>
      </c>
      <c r="P65" s="39">
        <v>1</v>
      </c>
      <c r="Q65" s="38"/>
      <c r="R65" s="38"/>
      <c r="S65" s="68">
        <f t="shared" si="15"/>
        <v>1</v>
      </c>
      <c r="T65" s="40">
        <v>14</v>
      </c>
    </row>
    <row r="66" spans="1:20" ht="15.75" thickBot="1" x14ac:dyDescent="0.3">
      <c r="A66" s="315"/>
      <c r="B66" s="308"/>
      <c r="C66" s="42" t="s">
        <v>65</v>
      </c>
      <c r="D66" s="39">
        <v>2</v>
      </c>
      <c r="E66" s="38"/>
      <c r="F66" s="39">
        <v>1</v>
      </c>
      <c r="G66" s="68">
        <f t="shared" si="4"/>
        <v>3</v>
      </c>
      <c r="H66" s="38"/>
      <c r="I66" s="38"/>
      <c r="J66" s="38"/>
      <c r="K66" s="68">
        <f t="shared" si="13"/>
        <v>0</v>
      </c>
      <c r="L66" s="38"/>
      <c r="M66" s="38"/>
      <c r="N66" s="38"/>
      <c r="O66" s="68">
        <f t="shared" si="14"/>
        <v>0</v>
      </c>
      <c r="P66" s="38"/>
      <c r="Q66" s="38"/>
      <c r="R66" s="38"/>
      <c r="S66" s="68">
        <f t="shared" si="15"/>
        <v>0</v>
      </c>
      <c r="T66" s="40">
        <v>3</v>
      </c>
    </row>
    <row r="67" spans="1:20" ht="15.75" thickBot="1" x14ac:dyDescent="0.3">
      <c r="A67" s="315"/>
      <c r="B67" s="308"/>
      <c r="C67" s="42" t="s">
        <v>66</v>
      </c>
      <c r="D67" s="38"/>
      <c r="E67" s="38"/>
      <c r="F67" s="38"/>
      <c r="G67" s="68">
        <f t="shared" si="4"/>
        <v>0</v>
      </c>
      <c r="H67" s="38"/>
      <c r="I67" s="38"/>
      <c r="J67" s="38"/>
      <c r="K67" s="68">
        <f t="shared" si="13"/>
        <v>0</v>
      </c>
      <c r="L67" s="38"/>
      <c r="M67" s="38"/>
      <c r="N67" s="38"/>
      <c r="O67" s="68">
        <f t="shared" si="14"/>
        <v>0</v>
      </c>
      <c r="P67" s="38"/>
      <c r="Q67" s="38"/>
      <c r="R67" s="38"/>
      <c r="S67" s="68">
        <f t="shared" si="15"/>
        <v>0</v>
      </c>
      <c r="T67" s="40">
        <v>0</v>
      </c>
    </row>
    <row r="68" spans="1:20" ht="18.75" thickBot="1" x14ac:dyDescent="0.3">
      <c r="A68" s="316"/>
      <c r="B68" s="309"/>
      <c r="C68" s="42" t="s">
        <v>67</v>
      </c>
      <c r="D68" s="38"/>
      <c r="E68" s="38"/>
      <c r="F68" s="38"/>
      <c r="G68" s="68">
        <f t="shared" si="4"/>
        <v>0</v>
      </c>
      <c r="H68" s="38"/>
      <c r="I68" s="38"/>
      <c r="J68" s="38"/>
      <c r="K68" s="68">
        <f t="shared" si="13"/>
        <v>0</v>
      </c>
      <c r="L68" s="38"/>
      <c r="M68" s="38"/>
      <c r="N68" s="39">
        <v>1</v>
      </c>
      <c r="O68" s="68">
        <f t="shared" si="14"/>
        <v>1</v>
      </c>
      <c r="P68" s="44">
        <v>22</v>
      </c>
      <c r="Q68" s="39">
        <v>11</v>
      </c>
      <c r="R68" s="38"/>
      <c r="S68" s="68">
        <f t="shared" si="15"/>
        <v>33</v>
      </c>
      <c r="T68" s="40">
        <v>34</v>
      </c>
    </row>
    <row r="69" spans="1:20" ht="15.75" thickBot="1" x14ac:dyDescent="0.3">
      <c r="A69" s="71"/>
      <c r="B69" s="72"/>
      <c r="C69" s="72"/>
      <c r="D69" s="72"/>
      <c r="E69" s="72"/>
      <c r="F69" s="72"/>
      <c r="G69" s="73">
        <f>SUM(G57:G68)</f>
        <v>29</v>
      </c>
      <c r="H69" s="73"/>
      <c r="I69" s="73"/>
      <c r="J69" s="73"/>
      <c r="K69" s="73">
        <f>SUM(K57:K68)</f>
        <v>4</v>
      </c>
      <c r="L69" s="73"/>
      <c r="M69" s="73"/>
      <c r="N69" s="73"/>
      <c r="O69" s="73">
        <f>SUM(O57:O68)</f>
        <v>12</v>
      </c>
      <c r="P69" s="73"/>
      <c r="Q69" s="73"/>
      <c r="R69" s="74"/>
      <c r="S69" s="73">
        <f>SUM(S57:S68)</f>
        <v>40</v>
      </c>
      <c r="T69" s="63">
        <f>SUM(T57:T68)</f>
        <v>85</v>
      </c>
    </row>
    <row r="70" spans="1:20" ht="15.75" thickBot="1" x14ac:dyDescent="0.3">
      <c r="A70" s="314">
        <v>6</v>
      </c>
      <c r="B70" s="314" t="s">
        <v>22</v>
      </c>
      <c r="C70" s="37" t="s">
        <v>56</v>
      </c>
      <c r="D70" s="38"/>
      <c r="E70" s="39">
        <v>1</v>
      </c>
      <c r="F70" s="38"/>
      <c r="G70" s="68">
        <f t="shared" si="4"/>
        <v>1</v>
      </c>
      <c r="H70" s="38"/>
      <c r="I70" s="38"/>
      <c r="J70" s="38"/>
      <c r="K70" s="68">
        <f t="shared" ref="K70:K94" si="16">H70+I70+J70</f>
        <v>0</v>
      </c>
      <c r="L70" s="38"/>
      <c r="M70" s="38"/>
      <c r="N70" s="38"/>
      <c r="O70" s="68">
        <f t="shared" ref="O70:O81" si="17">L70+M70+N70</f>
        <v>0</v>
      </c>
      <c r="P70" s="38"/>
      <c r="Q70" s="38"/>
      <c r="R70" s="38"/>
      <c r="S70" s="68">
        <f t="shared" ref="S70:S81" si="18">P70+Q70+R70</f>
        <v>0</v>
      </c>
      <c r="T70" s="40">
        <v>1</v>
      </c>
    </row>
    <row r="71" spans="1:20" ht="18.75" thickBot="1" x14ac:dyDescent="0.3">
      <c r="A71" s="315"/>
      <c r="B71" s="315"/>
      <c r="C71" s="37" t="s">
        <v>57</v>
      </c>
      <c r="D71" s="38"/>
      <c r="E71" s="38"/>
      <c r="F71" s="38"/>
      <c r="G71" s="68">
        <f t="shared" si="4"/>
        <v>0</v>
      </c>
      <c r="H71" s="38"/>
      <c r="I71" s="38"/>
      <c r="J71" s="38"/>
      <c r="K71" s="68">
        <f t="shared" si="16"/>
        <v>0</v>
      </c>
      <c r="L71" s="38"/>
      <c r="M71" s="38"/>
      <c r="N71" s="38"/>
      <c r="O71" s="68">
        <f t="shared" si="17"/>
        <v>0</v>
      </c>
      <c r="P71" s="38"/>
      <c r="Q71" s="38"/>
      <c r="R71" s="38"/>
      <c r="S71" s="68">
        <f t="shared" si="18"/>
        <v>0</v>
      </c>
      <c r="T71" s="40">
        <v>0</v>
      </c>
    </row>
    <row r="72" spans="1:20" ht="18.75" thickBot="1" x14ac:dyDescent="0.3">
      <c r="A72" s="315"/>
      <c r="B72" s="315"/>
      <c r="C72" s="37" t="s">
        <v>58</v>
      </c>
      <c r="D72" s="39">
        <v>1</v>
      </c>
      <c r="E72" s="39">
        <v>1</v>
      </c>
      <c r="F72" s="38"/>
      <c r="G72" s="68">
        <f t="shared" si="4"/>
        <v>2</v>
      </c>
      <c r="H72" s="38"/>
      <c r="I72" s="38"/>
      <c r="J72" s="38"/>
      <c r="K72" s="68">
        <f t="shared" si="16"/>
        <v>0</v>
      </c>
      <c r="L72" s="38"/>
      <c r="M72" s="38"/>
      <c r="N72" s="38"/>
      <c r="O72" s="68">
        <f t="shared" si="17"/>
        <v>0</v>
      </c>
      <c r="P72" s="38"/>
      <c r="Q72" s="38"/>
      <c r="R72" s="39">
        <v>1</v>
      </c>
      <c r="S72" s="68">
        <f t="shared" si="18"/>
        <v>1</v>
      </c>
      <c r="T72" s="40">
        <v>3</v>
      </c>
    </row>
    <row r="73" spans="1:20" ht="18.75" thickBot="1" x14ac:dyDescent="0.3">
      <c r="A73" s="315"/>
      <c r="B73" s="315"/>
      <c r="C73" s="37" t="s">
        <v>59</v>
      </c>
      <c r="D73" s="38"/>
      <c r="E73" s="38"/>
      <c r="F73" s="38"/>
      <c r="G73" s="68">
        <f t="shared" si="4"/>
        <v>0</v>
      </c>
      <c r="H73" s="38"/>
      <c r="I73" s="38"/>
      <c r="J73" s="38"/>
      <c r="K73" s="68">
        <f t="shared" si="16"/>
        <v>0</v>
      </c>
      <c r="L73" s="38"/>
      <c r="M73" s="38"/>
      <c r="N73" s="38"/>
      <c r="O73" s="68">
        <f t="shared" si="17"/>
        <v>0</v>
      </c>
      <c r="P73" s="38"/>
      <c r="Q73" s="38"/>
      <c r="R73" s="38"/>
      <c r="S73" s="68">
        <f t="shared" si="18"/>
        <v>0</v>
      </c>
      <c r="T73" s="40">
        <v>0</v>
      </c>
    </row>
    <row r="74" spans="1:20" ht="18.75" thickBot="1" x14ac:dyDescent="0.3">
      <c r="A74" s="315"/>
      <c r="B74" s="315"/>
      <c r="C74" s="37" t="s">
        <v>60</v>
      </c>
      <c r="D74" s="38"/>
      <c r="E74" s="38"/>
      <c r="F74" s="38"/>
      <c r="G74" s="68">
        <f t="shared" si="4"/>
        <v>0</v>
      </c>
      <c r="H74" s="38"/>
      <c r="I74" s="38"/>
      <c r="J74" s="38"/>
      <c r="K74" s="68">
        <f t="shared" si="16"/>
        <v>0</v>
      </c>
      <c r="L74" s="38"/>
      <c r="M74" s="38"/>
      <c r="N74" s="38"/>
      <c r="O74" s="68">
        <f t="shared" si="17"/>
        <v>0</v>
      </c>
      <c r="P74" s="38"/>
      <c r="Q74" s="38"/>
      <c r="R74" s="38"/>
      <c r="S74" s="68">
        <f t="shared" si="18"/>
        <v>0</v>
      </c>
      <c r="T74" s="40">
        <v>0</v>
      </c>
    </row>
    <row r="75" spans="1:20" ht="18.75" thickBot="1" x14ac:dyDescent="0.3">
      <c r="A75" s="315"/>
      <c r="B75" s="315"/>
      <c r="C75" s="37" t="s">
        <v>61</v>
      </c>
      <c r="D75" s="38"/>
      <c r="E75" s="38"/>
      <c r="F75" s="38"/>
      <c r="G75" s="68">
        <f t="shared" si="4"/>
        <v>0</v>
      </c>
      <c r="H75" s="38"/>
      <c r="I75" s="38"/>
      <c r="J75" s="38"/>
      <c r="K75" s="68">
        <f t="shared" si="16"/>
        <v>0</v>
      </c>
      <c r="L75" s="38"/>
      <c r="M75" s="38"/>
      <c r="N75" s="38"/>
      <c r="O75" s="68">
        <f t="shared" si="17"/>
        <v>0</v>
      </c>
      <c r="P75" s="38"/>
      <c r="Q75" s="38"/>
      <c r="R75" s="38"/>
      <c r="S75" s="68">
        <f t="shared" si="18"/>
        <v>0</v>
      </c>
      <c r="T75" s="40">
        <v>0</v>
      </c>
    </row>
    <row r="76" spans="1:20" ht="18.75" thickBot="1" x14ac:dyDescent="0.3">
      <c r="A76" s="315"/>
      <c r="B76" s="315"/>
      <c r="C76" s="37" t="s">
        <v>62</v>
      </c>
      <c r="D76" s="38"/>
      <c r="E76" s="38"/>
      <c r="F76" s="38"/>
      <c r="G76" s="68">
        <f t="shared" si="4"/>
        <v>0</v>
      </c>
      <c r="H76" s="38"/>
      <c r="I76" s="38"/>
      <c r="J76" s="38"/>
      <c r="K76" s="68">
        <f t="shared" si="16"/>
        <v>0</v>
      </c>
      <c r="L76" s="39">
        <v>1</v>
      </c>
      <c r="M76" s="38"/>
      <c r="N76" s="39">
        <v>2</v>
      </c>
      <c r="O76" s="68">
        <f t="shared" si="17"/>
        <v>3</v>
      </c>
      <c r="P76" s="39">
        <v>1</v>
      </c>
      <c r="Q76" s="38"/>
      <c r="R76" s="38"/>
      <c r="S76" s="68">
        <f t="shared" si="18"/>
        <v>1</v>
      </c>
      <c r="T76" s="40">
        <v>4</v>
      </c>
    </row>
    <row r="77" spans="1:20" ht="18.75" thickBot="1" x14ac:dyDescent="0.3">
      <c r="A77" s="315"/>
      <c r="B77" s="315"/>
      <c r="C77" s="37" t="s">
        <v>63</v>
      </c>
      <c r="D77" s="38"/>
      <c r="E77" s="38"/>
      <c r="F77" s="38"/>
      <c r="G77" s="68">
        <f t="shared" si="4"/>
        <v>0</v>
      </c>
      <c r="H77" s="38"/>
      <c r="I77" s="38"/>
      <c r="J77" s="38"/>
      <c r="K77" s="68">
        <f t="shared" si="16"/>
        <v>0</v>
      </c>
      <c r="L77" s="38"/>
      <c r="M77" s="38"/>
      <c r="N77" s="38"/>
      <c r="O77" s="68">
        <f t="shared" si="17"/>
        <v>0</v>
      </c>
      <c r="P77" s="38"/>
      <c r="Q77" s="38"/>
      <c r="R77" s="38"/>
      <c r="S77" s="68">
        <f t="shared" si="18"/>
        <v>0</v>
      </c>
      <c r="T77" s="40">
        <v>0</v>
      </c>
    </row>
    <row r="78" spans="1:20" ht="27.75" thickBot="1" x14ac:dyDescent="0.3">
      <c r="A78" s="315"/>
      <c r="B78" s="315"/>
      <c r="C78" s="37" t="s">
        <v>64</v>
      </c>
      <c r="D78" s="39">
        <v>2</v>
      </c>
      <c r="E78" s="39">
        <v>1</v>
      </c>
      <c r="F78" s="38"/>
      <c r="G78" s="68">
        <f t="shared" si="4"/>
        <v>3</v>
      </c>
      <c r="H78" s="38"/>
      <c r="I78" s="38"/>
      <c r="J78" s="38"/>
      <c r="K78" s="68">
        <f t="shared" si="16"/>
        <v>0</v>
      </c>
      <c r="L78" s="38"/>
      <c r="M78" s="38"/>
      <c r="N78" s="38"/>
      <c r="O78" s="68">
        <f t="shared" si="17"/>
        <v>0</v>
      </c>
      <c r="P78" s="38"/>
      <c r="Q78" s="38"/>
      <c r="R78" s="38"/>
      <c r="S78" s="68">
        <f t="shared" si="18"/>
        <v>0</v>
      </c>
      <c r="T78" s="40">
        <v>3</v>
      </c>
    </row>
    <row r="79" spans="1:20" ht="15.75" thickBot="1" x14ac:dyDescent="0.3">
      <c r="A79" s="315"/>
      <c r="B79" s="315"/>
      <c r="C79" s="42" t="s">
        <v>65</v>
      </c>
      <c r="D79" s="38"/>
      <c r="E79" s="38"/>
      <c r="F79" s="38"/>
      <c r="G79" s="68">
        <f t="shared" si="4"/>
        <v>0</v>
      </c>
      <c r="H79" s="38"/>
      <c r="I79" s="38"/>
      <c r="J79" s="38"/>
      <c r="K79" s="68">
        <f t="shared" si="16"/>
        <v>0</v>
      </c>
      <c r="L79" s="38"/>
      <c r="M79" s="38"/>
      <c r="N79" s="38"/>
      <c r="O79" s="68">
        <f t="shared" si="17"/>
        <v>0</v>
      </c>
      <c r="P79" s="38"/>
      <c r="Q79" s="38"/>
      <c r="R79" s="38"/>
      <c r="S79" s="68">
        <f t="shared" si="18"/>
        <v>0</v>
      </c>
      <c r="T79" s="40">
        <v>0</v>
      </c>
    </row>
    <row r="80" spans="1:20" ht="15.75" thickBot="1" x14ac:dyDescent="0.3">
      <c r="A80" s="315"/>
      <c r="B80" s="315"/>
      <c r="C80" s="42" t="s">
        <v>66</v>
      </c>
      <c r="D80" s="38"/>
      <c r="E80" s="38"/>
      <c r="F80" s="38"/>
      <c r="G80" s="68">
        <f t="shared" si="4"/>
        <v>0</v>
      </c>
      <c r="H80" s="38"/>
      <c r="I80" s="38"/>
      <c r="J80" s="38"/>
      <c r="K80" s="68">
        <f t="shared" si="16"/>
        <v>0</v>
      </c>
      <c r="L80" s="38"/>
      <c r="M80" s="38"/>
      <c r="N80" s="38"/>
      <c r="O80" s="68">
        <f t="shared" si="17"/>
        <v>0</v>
      </c>
      <c r="P80" s="39">
        <v>2</v>
      </c>
      <c r="Q80" s="38"/>
      <c r="R80" s="38"/>
      <c r="S80" s="68">
        <f t="shared" si="18"/>
        <v>2</v>
      </c>
      <c r="T80" s="40">
        <v>2</v>
      </c>
    </row>
    <row r="81" spans="1:20" ht="18.75" thickBot="1" x14ac:dyDescent="0.3">
      <c r="A81" s="316"/>
      <c r="B81" s="316"/>
      <c r="C81" s="42" t="s">
        <v>67</v>
      </c>
      <c r="D81" s="38"/>
      <c r="E81" s="38"/>
      <c r="F81" s="38"/>
      <c r="G81" s="68">
        <f t="shared" si="4"/>
        <v>0</v>
      </c>
      <c r="H81" s="38"/>
      <c r="I81" s="38"/>
      <c r="J81" s="38"/>
      <c r="K81" s="68">
        <f t="shared" si="16"/>
        <v>0</v>
      </c>
      <c r="L81" s="38"/>
      <c r="M81" s="38"/>
      <c r="N81" s="38"/>
      <c r="O81" s="68">
        <f t="shared" si="17"/>
        <v>0</v>
      </c>
      <c r="P81" s="38"/>
      <c r="Q81" s="38"/>
      <c r="R81" s="38"/>
      <c r="S81" s="68">
        <f t="shared" si="18"/>
        <v>0</v>
      </c>
      <c r="T81" s="40">
        <v>0</v>
      </c>
    </row>
    <row r="82" spans="1:20" ht="15.75" thickBot="1" x14ac:dyDescent="0.3">
      <c r="A82" s="71"/>
      <c r="B82" s="72"/>
      <c r="C82" s="72"/>
      <c r="D82" s="72"/>
      <c r="E82" s="72"/>
      <c r="F82" s="72"/>
      <c r="G82" s="73">
        <f>SUM(G70:G81)</f>
        <v>6</v>
      </c>
      <c r="H82" s="73"/>
      <c r="I82" s="73"/>
      <c r="J82" s="73"/>
      <c r="K82" s="73">
        <f>SUM(K70:K81)</f>
        <v>0</v>
      </c>
      <c r="L82" s="73"/>
      <c r="M82" s="73"/>
      <c r="N82" s="73"/>
      <c r="O82" s="73">
        <f>SUM(O70:O81)</f>
        <v>3</v>
      </c>
      <c r="P82" s="73"/>
      <c r="Q82" s="73"/>
      <c r="R82" s="74"/>
      <c r="S82" s="73">
        <f>SUM(S70:S81)</f>
        <v>4</v>
      </c>
      <c r="T82" s="63">
        <f>SUM(T70:T81)</f>
        <v>13</v>
      </c>
    </row>
    <row r="83" spans="1:20" ht="15.75" thickBot="1" x14ac:dyDescent="0.3">
      <c r="A83" s="314">
        <v>7</v>
      </c>
      <c r="B83" s="314" t="s">
        <v>18</v>
      </c>
      <c r="C83" s="37" t="s">
        <v>56</v>
      </c>
      <c r="D83" s="38"/>
      <c r="E83" s="38"/>
      <c r="F83" s="38"/>
      <c r="G83" s="68">
        <f t="shared" si="4"/>
        <v>0</v>
      </c>
      <c r="H83" s="38"/>
      <c r="I83" s="39">
        <v>7</v>
      </c>
      <c r="J83" s="39">
        <v>6</v>
      </c>
      <c r="K83" s="68">
        <f t="shared" si="16"/>
        <v>13</v>
      </c>
      <c r="L83" s="39">
        <v>1</v>
      </c>
      <c r="M83" s="38"/>
      <c r="N83" s="38"/>
      <c r="O83" s="68">
        <f t="shared" ref="O83:O94" si="19">L83+M83+N83</f>
        <v>1</v>
      </c>
      <c r="P83" s="38"/>
      <c r="Q83" s="38"/>
      <c r="R83" s="38"/>
      <c r="S83" s="68">
        <f t="shared" ref="S83:S94" si="20">P83+Q83+R83</f>
        <v>0</v>
      </c>
      <c r="T83" s="40">
        <v>14</v>
      </c>
    </row>
    <row r="84" spans="1:20" ht="18.75" thickBot="1" x14ac:dyDescent="0.3">
      <c r="A84" s="315"/>
      <c r="B84" s="315"/>
      <c r="C84" s="37" t="s">
        <v>57</v>
      </c>
      <c r="D84" s="38"/>
      <c r="E84" s="38"/>
      <c r="F84" s="38"/>
      <c r="G84" s="68">
        <f t="shared" ref="G84:G148" si="21">D84+E84+F84</f>
        <v>0</v>
      </c>
      <c r="H84" s="38"/>
      <c r="I84" s="38"/>
      <c r="J84" s="38"/>
      <c r="K84" s="68">
        <f t="shared" si="16"/>
        <v>0</v>
      </c>
      <c r="L84" s="38"/>
      <c r="M84" s="38"/>
      <c r="N84" s="38"/>
      <c r="O84" s="68">
        <f t="shared" si="19"/>
        <v>0</v>
      </c>
      <c r="P84" s="38"/>
      <c r="Q84" s="38"/>
      <c r="R84" s="38"/>
      <c r="S84" s="68">
        <f t="shared" si="20"/>
        <v>0</v>
      </c>
      <c r="T84" s="40">
        <v>0</v>
      </c>
    </row>
    <row r="85" spans="1:20" ht="18.75" thickBot="1" x14ac:dyDescent="0.3">
      <c r="A85" s="315"/>
      <c r="B85" s="315"/>
      <c r="C85" s="37" t="s">
        <v>58</v>
      </c>
      <c r="D85" s="38"/>
      <c r="E85" s="38"/>
      <c r="F85" s="38"/>
      <c r="G85" s="68">
        <f t="shared" si="21"/>
        <v>0</v>
      </c>
      <c r="H85" s="38"/>
      <c r="I85" s="39">
        <v>3</v>
      </c>
      <c r="J85" s="39">
        <v>4</v>
      </c>
      <c r="K85" s="68">
        <f t="shared" si="16"/>
        <v>7</v>
      </c>
      <c r="L85" s="39">
        <v>1</v>
      </c>
      <c r="M85" s="38"/>
      <c r="N85" s="38"/>
      <c r="O85" s="68">
        <f t="shared" si="19"/>
        <v>1</v>
      </c>
      <c r="P85" s="38"/>
      <c r="Q85" s="38"/>
      <c r="R85" s="39">
        <v>1</v>
      </c>
      <c r="S85" s="68">
        <f t="shared" si="20"/>
        <v>1</v>
      </c>
      <c r="T85" s="40">
        <v>9</v>
      </c>
    </row>
    <row r="86" spans="1:20" ht="18.75" thickBot="1" x14ac:dyDescent="0.3">
      <c r="A86" s="315"/>
      <c r="B86" s="315"/>
      <c r="C86" s="37" t="s">
        <v>59</v>
      </c>
      <c r="D86" s="38"/>
      <c r="E86" s="38"/>
      <c r="F86" s="38"/>
      <c r="G86" s="68">
        <f t="shared" si="21"/>
        <v>0</v>
      </c>
      <c r="H86" s="38"/>
      <c r="I86" s="38"/>
      <c r="J86" s="38"/>
      <c r="K86" s="68">
        <f t="shared" si="16"/>
        <v>0</v>
      </c>
      <c r="L86" s="38"/>
      <c r="M86" s="38"/>
      <c r="N86" s="38"/>
      <c r="O86" s="68">
        <f t="shared" si="19"/>
        <v>0</v>
      </c>
      <c r="P86" s="38"/>
      <c r="Q86" s="38"/>
      <c r="R86" s="38"/>
      <c r="S86" s="68">
        <f t="shared" si="20"/>
        <v>0</v>
      </c>
      <c r="T86" s="40">
        <v>0</v>
      </c>
    </row>
    <row r="87" spans="1:20" ht="18.75" thickBot="1" x14ac:dyDescent="0.3">
      <c r="A87" s="315"/>
      <c r="B87" s="315"/>
      <c r="C87" s="37" t="s">
        <v>60</v>
      </c>
      <c r="D87" s="38"/>
      <c r="E87" s="38"/>
      <c r="F87" s="38"/>
      <c r="G87" s="68">
        <f t="shared" si="21"/>
        <v>0</v>
      </c>
      <c r="H87" s="38"/>
      <c r="I87" s="38"/>
      <c r="J87" s="38"/>
      <c r="K87" s="68">
        <f t="shared" si="16"/>
        <v>0</v>
      </c>
      <c r="L87" s="38"/>
      <c r="M87" s="38"/>
      <c r="N87" s="38"/>
      <c r="O87" s="68">
        <f t="shared" si="19"/>
        <v>0</v>
      </c>
      <c r="P87" s="38"/>
      <c r="Q87" s="38"/>
      <c r="R87" s="38"/>
      <c r="S87" s="68">
        <f t="shared" si="20"/>
        <v>0</v>
      </c>
      <c r="T87" s="40">
        <v>0</v>
      </c>
    </row>
    <row r="88" spans="1:20" ht="18.75" thickBot="1" x14ac:dyDescent="0.3">
      <c r="A88" s="315"/>
      <c r="B88" s="315"/>
      <c r="C88" s="37" t="s">
        <v>61</v>
      </c>
      <c r="D88" s="38"/>
      <c r="E88" s="38"/>
      <c r="F88" s="38"/>
      <c r="G88" s="68">
        <f t="shared" si="21"/>
        <v>0</v>
      </c>
      <c r="H88" s="38"/>
      <c r="I88" s="38"/>
      <c r="J88" s="38"/>
      <c r="K88" s="68">
        <f t="shared" si="16"/>
        <v>0</v>
      </c>
      <c r="L88" s="38"/>
      <c r="M88" s="38"/>
      <c r="N88" s="38"/>
      <c r="O88" s="68">
        <f t="shared" si="19"/>
        <v>0</v>
      </c>
      <c r="P88" s="38"/>
      <c r="Q88" s="38"/>
      <c r="R88" s="38"/>
      <c r="S88" s="68">
        <f t="shared" si="20"/>
        <v>0</v>
      </c>
      <c r="T88" s="40">
        <v>0</v>
      </c>
    </row>
    <row r="89" spans="1:20" ht="18.75" thickBot="1" x14ac:dyDescent="0.3">
      <c r="A89" s="304"/>
      <c r="B89" s="304"/>
      <c r="C89" s="46" t="s">
        <v>62</v>
      </c>
      <c r="D89" s="47"/>
      <c r="E89" s="47"/>
      <c r="F89" s="47"/>
      <c r="G89" s="68">
        <f t="shared" si="21"/>
        <v>0</v>
      </c>
      <c r="H89" s="47"/>
      <c r="I89" s="47"/>
      <c r="J89" s="47"/>
      <c r="K89" s="68">
        <f t="shared" si="16"/>
        <v>0</v>
      </c>
      <c r="L89" s="47"/>
      <c r="M89" s="47"/>
      <c r="N89" s="47"/>
      <c r="O89" s="68">
        <f t="shared" si="19"/>
        <v>0</v>
      </c>
      <c r="P89" s="47"/>
      <c r="Q89" s="47"/>
      <c r="R89" s="47"/>
      <c r="S89" s="68">
        <f t="shared" si="20"/>
        <v>0</v>
      </c>
      <c r="T89" s="48">
        <v>0</v>
      </c>
    </row>
    <row r="90" spans="1:20" ht="18.75" thickBot="1" x14ac:dyDescent="0.3">
      <c r="A90" s="304"/>
      <c r="B90" s="304"/>
      <c r="C90" s="37" t="s">
        <v>63</v>
      </c>
      <c r="D90" s="44">
        <v>1</v>
      </c>
      <c r="E90" s="38"/>
      <c r="F90" s="38"/>
      <c r="G90" s="68">
        <f t="shared" si="21"/>
        <v>1</v>
      </c>
      <c r="H90" s="38"/>
      <c r="I90" s="39">
        <v>2</v>
      </c>
      <c r="J90" s="39">
        <v>1</v>
      </c>
      <c r="K90" s="68">
        <f t="shared" si="16"/>
        <v>3</v>
      </c>
      <c r="L90" s="38"/>
      <c r="M90" s="38"/>
      <c r="N90" s="38"/>
      <c r="O90" s="68">
        <f t="shared" si="19"/>
        <v>0</v>
      </c>
      <c r="P90" s="38"/>
      <c r="Q90" s="38"/>
      <c r="R90" s="38"/>
      <c r="S90" s="68">
        <f t="shared" si="20"/>
        <v>0</v>
      </c>
      <c r="T90" s="49">
        <v>4</v>
      </c>
    </row>
    <row r="91" spans="1:20" ht="27.75" thickBot="1" x14ac:dyDescent="0.3">
      <c r="A91" s="304"/>
      <c r="B91" s="304"/>
      <c r="C91" s="37" t="s">
        <v>64</v>
      </c>
      <c r="D91" s="38"/>
      <c r="E91" s="38"/>
      <c r="F91" s="38"/>
      <c r="G91" s="68">
        <f t="shared" si="21"/>
        <v>0</v>
      </c>
      <c r="H91" s="38"/>
      <c r="I91" s="38"/>
      <c r="J91" s="38"/>
      <c r="K91" s="68">
        <f t="shared" si="16"/>
        <v>0</v>
      </c>
      <c r="L91" s="38"/>
      <c r="M91" s="38"/>
      <c r="N91" s="38"/>
      <c r="O91" s="68">
        <f t="shared" si="19"/>
        <v>0</v>
      </c>
      <c r="P91" s="38"/>
      <c r="Q91" s="38"/>
      <c r="R91" s="38"/>
      <c r="S91" s="68">
        <f t="shared" si="20"/>
        <v>0</v>
      </c>
      <c r="T91" s="49">
        <v>0</v>
      </c>
    </row>
    <row r="92" spans="1:20" ht="15.75" thickBot="1" x14ac:dyDescent="0.3">
      <c r="A92" s="304"/>
      <c r="B92" s="304"/>
      <c r="C92" s="42" t="s">
        <v>65</v>
      </c>
      <c r="D92" s="38"/>
      <c r="E92" s="38"/>
      <c r="F92" s="38"/>
      <c r="G92" s="68">
        <f t="shared" si="21"/>
        <v>0</v>
      </c>
      <c r="H92" s="38"/>
      <c r="I92" s="38"/>
      <c r="J92" s="38"/>
      <c r="K92" s="68">
        <f t="shared" si="16"/>
        <v>0</v>
      </c>
      <c r="L92" s="38"/>
      <c r="M92" s="38"/>
      <c r="N92" s="38"/>
      <c r="O92" s="68">
        <f t="shared" si="19"/>
        <v>0</v>
      </c>
      <c r="P92" s="38"/>
      <c r="Q92" s="38"/>
      <c r="R92" s="38"/>
      <c r="S92" s="68">
        <f t="shared" si="20"/>
        <v>0</v>
      </c>
      <c r="T92" s="49">
        <v>0</v>
      </c>
    </row>
    <row r="93" spans="1:20" ht="15.75" thickBot="1" x14ac:dyDescent="0.3">
      <c r="A93" s="304"/>
      <c r="B93" s="304"/>
      <c r="C93" s="42" t="s">
        <v>66</v>
      </c>
      <c r="D93" s="38"/>
      <c r="E93" s="38"/>
      <c r="F93" s="38"/>
      <c r="G93" s="68">
        <f t="shared" si="21"/>
        <v>0</v>
      </c>
      <c r="H93" s="38"/>
      <c r="I93" s="38"/>
      <c r="J93" s="38"/>
      <c r="K93" s="68">
        <f t="shared" si="16"/>
        <v>0</v>
      </c>
      <c r="L93" s="38"/>
      <c r="M93" s="38"/>
      <c r="N93" s="38"/>
      <c r="O93" s="68">
        <f t="shared" si="19"/>
        <v>0</v>
      </c>
      <c r="P93" s="50">
        <v>10</v>
      </c>
      <c r="Q93" s="39">
        <v>2</v>
      </c>
      <c r="R93" s="38"/>
      <c r="S93" s="68">
        <f t="shared" si="20"/>
        <v>12</v>
      </c>
      <c r="T93" s="49">
        <v>12</v>
      </c>
    </row>
    <row r="94" spans="1:20" ht="18.75" thickBot="1" x14ac:dyDescent="0.3">
      <c r="A94" s="305"/>
      <c r="B94" s="305"/>
      <c r="C94" s="42" t="s">
        <v>67</v>
      </c>
      <c r="D94" s="38"/>
      <c r="E94" s="38"/>
      <c r="F94" s="38"/>
      <c r="G94" s="68">
        <f t="shared" si="21"/>
        <v>0</v>
      </c>
      <c r="H94" s="38"/>
      <c r="I94" s="38"/>
      <c r="J94" s="38"/>
      <c r="K94" s="68">
        <f t="shared" si="16"/>
        <v>0</v>
      </c>
      <c r="L94" s="38"/>
      <c r="M94" s="38"/>
      <c r="N94" s="39">
        <v>1</v>
      </c>
      <c r="O94" s="68">
        <f t="shared" si="19"/>
        <v>1</v>
      </c>
      <c r="P94" s="38"/>
      <c r="Q94" s="38"/>
      <c r="R94" s="38"/>
      <c r="S94" s="68">
        <f t="shared" si="20"/>
        <v>0</v>
      </c>
      <c r="T94" s="49">
        <v>1</v>
      </c>
    </row>
    <row r="95" spans="1:20" ht="15.75" thickBot="1" x14ac:dyDescent="0.3">
      <c r="A95" s="71"/>
      <c r="B95" s="72"/>
      <c r="C95" s="72"/>
      <c r="D95" s="72"/>
      <c r="E95" s="72"/>
      <c r="F95" s="72"/>
      <c r="G95" s="73">
        <f>SUM(G83:G94)</f>
        <v>1</v>
      </c>
      <c r="H95" s="73"/>
      <c r="I95" s="73"/>
      <c r="J95" s="73"/>
      <c r="K95" s="73">
        <f>SUM(K84:K94)</f>
        <v>10</v>
      </c>
      <c r="L95" s="73"/>
      <c r="M95" s="73"/>
      <c r="N95" s="73"/>
      <c r="O95" s="73">
        <f>SUM(O83:O94)</f>
        <v>3</v>
      </c>
      <c r="P95" s="73"/>
      <c r="Q95" s="73"/>
      <c r="R95" s="74"/>
      <c r="S95" s="73">
        <f>SUM(S83:S94)</f>
        <v>13</v>
      </c>
      <c r="T95" s="63">
        <f>SUM(T83:T94)</f>
        <v>40</v>
      </c>
    </row>
    <row r="96" spans="1:20" ht="15.75" thickBot="1" x14ac:dyDescent="0.3">
      <c r="A96" s="314">
        <v>8</v>
      </c>
      <c r="B96" s="307" t="s">
        <v>24</v>
      </c>
      <c r="C96" s="37" t="s">
        <v>56</v>
      </c>
      <c r="D96" s="38"/>
      <c r="E96" s="39">
        <v>4</v>
      </c>
      <c r="F96" s="38"/>
      <c r="G96" s="68">
        <f t="shared" si="21"/>
        <v>4</v>
      </c>
      <c r="H96" s="38"/>
      <c r="I96" s="38"/>
      <c r="J96" s="38"/>
      <c r="K96" s="68">
        <f t="shared" ref="K96:K107" si="22">H96+I96+J96</f>
        <v>0</v>
      </c>
      <c r="L96" s="38"/>
      <c r="M96" s="38"/>
      <c r="N96" s="38"/>
      <c r="O96" s="68">
        <f t="shared" ref="O96:O107" si="23">L96+M96+N96</f>
        <v>0</v>
      </c>
      <c r="P96" s="38"/>
      <c r="Q96" s="38"/>
      <c r="R96" s="38"/>
      <c r="S96" s="68">
        <f t="shared" ref="S96:S107" si="24">P96+Q96+R96</f>
        <v>0</v>
      </c>
      <c r="T96" s="49">
        <v>4</v>
      </c>
    </row>
    <row r="97" spans="1:20" ht="18.75" thickBot="1" x14ac:dyDescent="0.3">
      <c r="A97" s="315"/>
      <c r="B97" s="308"/>
      <c r="C97" s="37" t="s">
        <v>57</v>
      </c>
      <c r="D97" s="38"/>
      <c r="E97" s="38"/>
      <c r="F97" s="38"/>
      <c r="G97" s="68">
        <f t="shared" si="21"/>
        <v>0</v>
      </c>
      <c r="H97" s="38"/>
      <c r="I97" s="38"/>
      <c r="J97" s="38"/>
      <c r="K97" s="68">
        <f t="shared" si="22"/>
        <v>0</v>
      </c>
      <c r="L97" s="38"/>
      <c r="M97" s="38"/>
      <c r="N97" s="38"/>
      <c r="O97" s="68">
        <f t="shared" si="23"/>
        <v>0</v>
      </c>
      <c r="P97" s="38"/>
      <c r="Q97" s="38"/>
      <c r="R97" s="38"/>
      <c r="S97" s="68">
        <f t="shared" si="24"/>
        <v>0</v>
      </c>
      <c r="T97" s="49">
        <v>0</v>
      </c>
    </row>
    <row r="98" spans="1:20" ht="18.75" thickBot="1" x14ac:dyDescent="0.3">
      <c r="A98" s="315"/>
      <c r="B98" s="308"/>
      <c r="C98" s="37" t="s">
        <v>58</v>
      </c>
      <c r="D98" s="38"/>
      <c r="E98" s="38"/>
      <c r="F98" s="38"/>
      <c r="G98" s="68">
        <f t="shared" si="21"/>
        <v>0</v>
      </c>
      <c r="H98" s="38"/>
      <c r="I98" s="38"/>
      <c r="J98" s="38"/>
      <c r="K98" s="68">
        <f t="shared" si="22"/>
        <v>0</v>
      </c>
      <c r="L98" s="38"/>
      <c r="M98" s="38"/>
      <c r="N98" s="38"/>
      <c r="O98" s="68">
        <f t="shared" si="23"/>
        <v>0</v>
      </c>
      <c r="P98" s="38"/>
      <c r="Q98" s="38"/>
      <c r="R98" s="38"/>
      <c r="S98" s="68">
        <f t="shared" si="24"/>
        <v>0</v>
      </c>
      <c r="T98" s="49">
        <v>0</v>
      </c>
    </row>
    <row r="99" spans="1:20" ht="18.75" thickBot="1" x14ac:dyDescent="0.3">
      <c r="A99" s="315"/>
      <c r="B99" s="308"/>
      <c r="C99" s="37" t="s">
        <v>59</v>
      </c>
      <c r="D99" s="38"/>
      <c r="E99" s="38"/>
      <c r="F99" s="38"/>
      <c r="G99" s="68">
        <f t="shared" si="21"/>
        <v>0</v>
      </c>
      <c r="H99" s="38"/>
      <c r="I99" s="38"/>
      <c r="J99" s="38"/>
      <c r="K99" s="68">
        <f t="shared" si="22"/>
        <v>0</v>
      </c>
      <c r="L99" s="38"/>
      <c r="M99" s="38"/>
      <c r="N99" s="38"/>
      <c r="O99" s="68">
        <f t="shared" si="23"/>
        <v>0</v>
      </c>
      <c r="P99" s="38"/>
      <c r="Q99" s="38"/>
      <c r="R99" s="38"/>
      <c r="S99" s="68">
        <f t="shared" si="24"/>
        <v>0</v>
      </c>
      <c r="T99" s="49">
        <v>0</v>
      </c>
    </row>
    <row r="100" spans="1:20" ht="18.75" thickBot="1" x14ac:dyDescent="0.3">
      <c r="A100" s="315"/>
      <c r="B100" s="308"/>
      <c r="C100" s="37" t="s">
        <v>60</v>
      </c>
      <c r="D100" s="38"/>
      <c r="E100" s="38"/>
      <c r="F100" s="38"/>
      <c r="G100" s="68">
        <f t="shared" si="21"/>
        <v>0</v>
      </c>
      <c r="H100" s="38"/>
      <c r="I100" s="38"/>
      <c r="J100" s="38"/>
      <c r="K100" s="68">
        <f t="shared" si="22"/>
        <v>0</v>
      </c>
      <c r="L100" s="38"/>
      <c r="M100" s="38"/>
      <c r="N100" s="38"/>
      <c r="O100" s="68">
        <f t="shared" si="23"/>
        <v>0</v>
      </c>
      <c r="P100" s="38"/>
      <c r="Q100" s="38"/>
      <c r="R100" s="38"/>
      <c r="S100" s="68">
        <f t="shared" si="24"/>
        <v>0</v>
      </c>
      <c r="T100" s="49">
        <v>0</v>
      </c>
    </row>
    <row r="101" spans="1:20" ht="18.75" thickBot="1" x14ac:dyDescent="0.3">
      <c r="A101" s="315"/>
      <c r="B101" s="308"/>
      <c r="C101" s="37" t="s">
        <v>61</v>
      </c>
      <c r="D101" s="38"/>
      <c r="E101" s="38"/>
      <c r="F101" s="38"/>
      <c r="G101" s="68">
        <f t="shared" si="21"/>
        <v>0</v>
      </c>
      <c r="H101" s="38"/>
      <c r="I101" s="38"/>
      <c r="J101" s="38"/>
      <c r="K101" s="68">
        <f t="shared" si="22"/>
        <v>0</v>
      </c>
      <c r="L101" s="38"/>
      <c r="M101" s="38"/>
      <c r="N101" s="38"/>
      <c r="O101" s="68">
        <f t="shared" si="23"/>
        <v>0</v>
      </c>
      <c r="P101" s="38"/>
      <c r="Q101" s="38"/>
      <c r="R101" s="38"/>
      <c r="S101" s="68">
        <f t="shared" si="24"/>
        <v>0</v>
      </c>
      <c r="T101" s="49">
        <v>0</v>
      </c>
    </row>
    <row r="102" spans="1:20" ht="18.75" thickBot="1" x14ac:dyDescent="0.3">
      <c r="A102" s="315"/>
      <c r="B102" s="308"/>
      <c r="C102" s="37" t="s">
        <v>62</v>
      </c>
      <c r="D102" s="38"/>
      <c r="E102" s="38"/>
      <c r="F102" s="38"/>
      <c r="G102" s="68">
        <f t="shared" si="21"/>
        <v>0</v>
      </c>
      <c r="H102" s="38"/>
      <c r="I102" s="39">
        <v>2</v>
      </c>
      <c r="J102" s="38"/>
      <c r="K102" s="68">
        <f t="shared" si="22"/>
        <v>2</v>
      </c>
      <c r="L102" s="39">
        <v>2</v>
      </c>
      <c r="M102" s="39">
        <v>3</v>
      </c>
      <c r="N102" s="39">
        <v>3</v>
      </c>
      <c r="O102" s="68">
        <f t="shared" si="23"/>
        <v>8</v>
      </c>
      <c r="P102" s="38"/>
      <c r="Q102" s="38"/>
      <c r="R102" s="38"/>
      <c r="S102" s="68">
        <f t="shared" si="24"/>
        <v>0</v>
      </c>
      <c r="T102" s="49">
        <v>10</v>
      </c>
    </row>
    <row r="103" spans="1:20" ht="18.75" thickBot="1" x14ac:dyDescent="0.3">
      <c r="A103" s="315"/>
      <c r="B103" s="308"/>
      <c r="C103" s="37" t="s">
        <v>63</v>
      </c>
      <c r="D103" s="38"/>
      <c r="E103" s="39">
        <v>7</v>
      </c>
      <c r="F103" s="38"/>
      <c r="G103" s="68">
        <f t="shared" si="21"/>
        <v>7</v>
      </c>
      <c r="H103" s="38"/>
      <c r="I103" s="38"/>
      <c r="J103" s="38"/>
      <c r="K103" s="68">
        <f t="shared" si="22"/>
        <v>0</v>
      </c>
      <c r="L103" s="38"/>
      <c r="M103" s="39">
        <v>3</v>
      </c>
      <c r="N103" s="39">
        <v>3</v>
      </c>
      <c r="O103" s="68">
        <f t="shared" si="23"/>
        <v>6</v>
      </c>
      <c r="P103" s="38"/>
      <c r="Q103" s="38"/>
      <c r="R103" s="39">
        <v>1</v>
      </c>
      <c r="S103" s="68">
        <f t="shared" si="24"/>
        <v>1</v>
      </c>
      <c r="T103" s="49">
        <v>14</v>
      </c>
    </row>
    <row r="104" spans="1:20" ht="27.75" thickBot="1" x14ac:dyDescent="0.3">
      <c r="A104" s="315"/>
      <c r="B104" s="308"/>
      <c r="C104" s="37" t="s">
        <v>64</v>
      </c>
      <c r="D104" s="38"/>
      <c r="E104" s="39">
        <v>1</v>
      </c>
      <c r="F104" s="38"/>
      <c r="G104" s="68">
        <f t="shared" si="21"/>
        <v>1</v>
      </c>
      <c r="H104" s="38"/>
      <c r="I104" s="38"/>
      <c r="J104" s="38"/>
      <c r="K104" s="68">
        <f t="shared" si="22"/>
        <v>0</v>
      </c>
      <c r="L104" s="38"/>
      <c r="M104" s="38"/>
      <c r="N104" s="38"/>
      <c r="O104" s="68">
        <f t="shared" si="23"/>
        <v>0</v>
      </c>
      <c r="P104" s="38"/>
      <c r="Q104" s="38"/>
      <c r="R104" s="38"/>
      <c r="S104" s="68">
        <f t="shared" si="24"/>
        <v>0</v>
      </c>
      <c r="T104" s="49">
        <v>1</v>
      </c>
    </row>
    <row r="105" spans="1:20" ht="15.75" thickBot="1" x14ac:dyDescent="0.3">
      <c r="A105" s="315"/>
      <c r="B105" s="308"/>
      <c r="C105" s="42" t="s">
        <v>65</v>
      </c>
      <c r="D105" s="38"/>
      <c r="E105" s="38"/>
      <c r="F105" s="38"/>
      <c r="G105" s="68">
        <f t="shared" si="21"/>
        <v>0</v>
      </c>
      <c r="H105" s="38"/>
      <c r="I105" s="38"/>
      <c r="J105" s="38"/>
      <c r="K105" s="68">
        <f t="shared" si="22"/>
        <v>0</v>
      </c>
      <c r="L105" s="38"/>
      <c r="M105" s="38"/>
      <c r="N105" s="38"/>
      <c r="O105" s="68">
        <f t="shared" si="23"/>
        <v>0</v>
      </c>
      <c r="P105" s="38"/>
      <c r="Q105" s="38"/>
      <c r="R105" s="38"/>
      <c r="S105" s="68">
        <f t="shared" si="24"/>
        <v>0</v>
      </c>
      <c r="T105" s="49">
        <v>0</v>
      </c>
    </row>
    <row r="106" spans="1:20" ht="15.75" thickBot="1" x14ac:dyDescent="0.3">
      <c r="A106" s="315"/>
      <c r="B106" s="308"/>
      <c r="C106" s="42" t="s">
        <v>66</v>
      </c>
      <c r="D106" s="38"/>
      <c r="E106" s="38"/>
      <c r="F106" s="38"/>
      <c r="G106" s="68">
        <f t="shared" si="21"/>
        <v>0</v>
      </c>
      <c r="H106" s="38"/>
      <c r="I106" s="38"/>
      <c r="J106" s="38"/>
      <c r="K106" s="68">
        <f t="shared" si="22"/>
        <v>0</v>
      </c>
      <c r="L106" s="38"/>
      <c r="M106" s="38"/>
      <c r="N106" s="38"/>
      <c r="O106" s="68">
        <f t="shared" si="23"/>
        <v>0</v>
      </c>
      <c r="P106" s="38"/>
      <c r="Q106" s="38"/>
      <c r="R106" s="38"/>
      <c r="S106" s="68">
        <f t="shared" si="24"/>
        <v>0</v>
      </c>
      <c r="T106" s="49">
        <v>0</v>
      </c>
    </row>
    <row r="107" spans="1:20" ht="18.75" thickBot="1" x14ac:dyDescent="0.3">
      <c r="A107" s="316"/>
      <c r="B107" s="309"/>
      <c r="C107" s="42" t="s">
        <v>67</v>
      </c>
      <c r="D107" s="38"/>
      <c r="E107" s="38"/>
      <c r="F107" s="38"/>
      <c r="G107" s="68">
        <f t="shared" si="21"/>
        <v>0</v>
      </c>
      <c r="H107" s="38"/>
      <c r="I107" s="38"/>
      <c r="J107" s="38"/>
      <c r="K107" s="68">
        <f t="shared" si="22"/>
        <v>0</v>
      </c>
      <c r="L107" s="38"/>
      <c r="M107" s="38"/>
      <c r="N107" s="39">
        <v>1</v>
      </c>
      <c r="O107" s="68">
        <f t="shared" si="23"/>
        <v>1</v>
      </c>
      <c r="P107" s="50">
        <v>2</v>
      </c>
      <c r="Q107" s="38"/>
      <c r="R107" s="38"/>
      <c r="S107" s="68">
        <f t="shared" si="24"/>
        <v>2</v>
      </c>
      <c r="T107" s="49">
        <v>3</v>
      </c>
    </row>
    <row r="108" spans="1:20" ht="15.75" customHeight="1" thickBot="1" x14ac:dyDescent="0.3">
      <c r="A108" s="71"/>
      <c r="B108" s="72"/>
      <c r="C108" s="72"/>
      <c r="D108" s="72"/>
      <c r="E108" s="72"/>
      <c r="F108" s="72"/>
      <c r="G108" s="73">
        <f>SUM(G96:G107)</f>
        <v>12</v>
      </c>
      <c r="H108" s="73"/>
      <c r="I108" s="73"/>
      <c r="J108" s="73"/>
      <c r="K108" s="73">
        <f>SUM(K97:K107)</f>
        <v>2</v>
      </c>
      <c r="L108" s="73"/>
      <c r="M108" s="73"/>
      <c r="N108" s="73"/>
      <c r="O108" s="73">
        <f>SUM(O96:O107)</f>
        <v>15</v>
      </c>
      <c r="P108" s="73"/>
      <c r="Q108" s="73"/>
      <c r="R108" s="74"/>
      <c r="S108" s="73">
        <f>SUM(S96:S107)</f>
        <v>3</v>
      </c>
      <c r="T108" s="63">
        <f>SUM(T96:T107)</f>
        <v>32</v>
      </c>
    </row>
    <row r="109" spans="1:20" ht="15.75" thickBot="1" x14ac:dyDescent="0.3">
      <c r="A109" s="314">
        <v>9</v>
      </c>
      <c r="B109" s="307" t="s">
        <v>25</v>
      </c>
      <c r="C109" s="37" t="s">
        <v>56</v>
      </c>
      <c r="D109" s="38"/>
      <c r="E109" s="38"/>
      <c r="F109" s="38"/>
      <c r="G109" s="68">
        <f t="shared" si="21"/>
        <v>0</v>
      </c>
      <c r="H109" s="38"/>
      <c r="I109" s="38"/>
      <c r="J109" s="38"/>
      <c r="K109" s="68">
        <f t="shared" ref="K109:K120" si="25">H109+I109+J109</f>
        <v>0</v>
      </c>
      <c r="L109" s="38"/>
      <c r="M109" s="38"/>
      <c r="N109" s="38"/>
      <c r="O109" s="68">
        <f t="shared" ref="O109:O120" si="26">L109+M109+N109</f>
        <v>0</v>
      </c>
      <c r="P109" s="38"/>
      <c r="Q109" s="38"/>
      <c r="R109" s="38"/>
      <c r="S109" s="68">
        <f t="shared" ref="S109:S120" si="27">P109+Q109+R109</f>
        <v>0</v>
      </c>
      <c r="T109" s="49">
        <v>0</v>
      </c>
    </row>
    <row r="110" spans="1:20" ht="18.75" thickBot="1" x14ac:dyDescent="0.3">
      <c r="A110" s="315"/>
      <c r="B110" s="308"/>
      <c r="C110" s="37" t="s">
        <v>57</v>
      </c>
      <c r="D110" s="38"/>
      <c r="E110" s="38"/>
      <c r="F110" s="38"/>
      <c r="G110" s="68">
        <f t="shared" si="21"/>
        <v>0</v>
      </c>
      <c r="H110" s="38"/>
      <c r="I110" s="38"/>
      <c r="J110" s="38"/>
      <c r="K110" s="68">
        <f t="shared" si="25"/>
        <v>0</v>
      </c>
      <c r="L110" s="38"/>
      <c r="M110" s="38"/>
      <c r="N110" s="38"/>
      <c r="O110" s="68">
        <f t="shared" si="26"/>
        <v>0</v>
      </c>
      <c r="P110" s="38"/>
      <c r="Q110" s="38"/>
      <c r="R110" s="38"/>
      <c r="S110" s="68">
        <f t="shared" si="27"/>
        <v>0</v>
      </c>
      <c r="T110" s="49">
        <v>0</v>
      </c>
    </row>
    <row r="111" spans="1:20" ht="18.75" thickBot="1" x14ac:dyDescent="0.3">
      <c r="A111" s="315"/>
      <c r="B111" s="308"/>
      <c r="C111" s="37" t="s">
        <v>58</v>
      </c>
      <c r="D111" s="38"/>
      <c r="E111" s="38"/>
      <c r="F111" s="38"/>
      <c r="G111" s="68">
        <f t="shared" si="21"/>
        <v>0</v>
      </c>
      <c r="H111" s="38"/>
      <c r="I111" s="38"/>
      <c r="J111" s="38"/>
      <c r="K111" s="68">
        <f t="shared" si="25"/>
        <v>0</v>
      </c>
      <c r="L111" s="38"/>
      <c r="M111" s="38"/>
      <c r="N111" s="38"/>
      <c r="O111" s="68">
        <f t="shared" si="26"/>
        <v>0</v>
      </c>
      <c r="P111" s="38"/>
      <c r="Q111" s="39">
        <v>1</v>
      </c>
      <c r="R111" s="38"/>
      <c r="S111" s="68">
        <f t="shared" si="27"/>
        <v>1</v>
      </c>
      <c r="T111" s="49">
        <v>1</v>
      </c>
    </row>
    <row r="112" spans="1:20" ht="18.75" thickBot="1" x14ac:dyDescent="0.3">
      <c r="A112" s="315"/>
      <c r="B112" s="308"/>
      <c r="C112" s="37" t="s">
        <v>59</v>
      </c>
      <c r="D112" s="38"/>
      <c r="E112" s="38"/>
      <c r="F112" s="38"/>
      <c r="G112" s="68">
        <f t="shared" si="21"/>
        <v>0</v>
      </c>
      <c r="H112" s="38"/>
      <c r="I112" s="38"/>
      <c r="J112" s="38"/>
      <c r="K112" s="68">
        <f t="shared" si="25"/>
        <v>0</v>
      </c>
      <c r="L112" s="38"/>
      <c r="M112" s="38"/>
      <c r="N112" s="38"/>
      <c r="O112" s="68">
        <f t="shared" si="26"/>
        <v>0</v>
      </c>
      <c r="P112" s="38"/>
      <c r="Q112" s="38"/>
      <c r="R112" s="38"/>
      <c r="S112" s="68">
        <f t="shared" si="27"/>
        <v>0</v>
      </c>
      <c r="T112" s="49">
        <v>0</v>
      </c>
    </row>
    <row r="113" spans="1:20" ht="18.75" thickBot="1" x14ac:dyDescent="0.3">
      <c r="A113" s="315"/>
      <c r="B113" s="308"/>
      <c r="C113" s="37" t="s">
        <v>60</v>
      </c>
      <c r="D113" s="38"/>
      <c r="E113" s="38"/>
      <c r="F113" s="38"/>
      <c r="G113" s="68">
        <f t="shared" si="21"/>
        <v>0</v>
      </c>
      <c r="H113" s="38"/>
      <c r="I113" s="38"/>
      <c r="J113" s="38"/>
      <c r="K113" s="68">
        <f t="shared" si="25"/>
        <v>0</v>
      </c>
      <c r="L113" s="38"/>
      <c r="M113" s="38"/>
      <c r="N113" s="38"/>
      <c r="O113" s="68">
        <f t="shared" si="26"/>
        <v>0</v>
      </c>
      <c r="P113" s="38"/>
      <c r="Q113" s="38"/>
      <c r="R113" s="38"/>
      <c r="S113" s="68">
        <f t="shared" si="27"/>
        <v>0</v>
      </c>
      <c r="T113" s="49">
        <v>0</v>
      </c>
    </row>
    <row r="114" spans="1:20" ht="18.75" thickBot="1" x14ac:dyDescent="0.3">
      <c r="A114" s="315"/>
      <c r="B114" s="308"/>
      <c r="C114" s="37" t="s">
        <v>61</v>
      </c>
      <c r="D114" s="38"/>
      <c r="E114" s="38"/>
      <c r="F114" s="38"/>
      <c r="G114" s="68">
        <f t="shared" si="21"/>
        <v>0</v>
      </c>
      <c r="H114" s="38"/>
      <c r="I114" s="38"/>
      <c r="J114" s="38"/>
      <c r="K114" s="68">
        <f t="shared" si="25"/>
        <v>0</v>
      </c>
      <c r="L114" s="38"/>
      <c r="M114" s="38"/>
      <c r="N114" s="38"/>
      <c r="O114" s="68">
        <f t="shared" si="26"/>
        <v>0</v>
      </c>
      <c r="P114" s="38"/>
      <c r="Q114" s="38"/>
      <c r="R114" s="38"/>
      <c r="S114" s="68">
        <f t="shared" si="27"/>
        <v>0</v>
      </c>
      <c r="T114" s="49">
        <v>0</v>
      </c>
    </row>
    <row r="115" spans="1:20" ht="18.75" thickBot="1" x14ac:dyDescent="0.3">
      <c r="A115" s="315"/>
      <c r="B115" s="308"/>
      <c r="C115" s="37" t="s">
        <v>62</v>
      </c>
      <c r="D115" s="44">
        <v>1</v>
      </c>
      <c r="E115" s="38"/>
      <c r="F115" s="38"/>
      <c r="G115" s="68">
        <f t="shared" si="21"/>
        <v>1</v>
      </c>
      <c r="H115" s="38"/>
      <c r="I115" s="39">
        <v>3</v>
      </c>
      <c r="J115" s="39">
        <v>3</v>
      </c>
      <c r="K115" s="68">
        <f t="shared" si="25"/>
        <v>6</v>
      </c>
      <c r="L115" s="38"/>
      <c r="M115" s="39">
        <v>3</v>
      </c>
      <c r="N115" s="39">
        <v>4</v>
      </c>
      <c r="O115" s="68">
        <f t="shared" si="26"/>
        <v>7</v>
      </c>
      <c r="P115" s="50">
        <v>3</v>
      </c>
      <c r="Q115" s="39">
        <v>2</v>
      </c>
      <c r="R115" s="38"/>
      <c r="S115" s="68">
        <f t="shared" si="27"/>
        <v>5</v>
      </c>
      <c r="T115" s="49">
        <v>19</v>
      </c>
    </row>
    <row r="116" spans="1:20" ht="18.75" thickBot="1" x14ac:dyDescent="0.3">
      <c r="A116" s="315"/>
      <c r="B116" s="308"/>
      <c r="C116" s="37" t="s">
        <v>63</v>
      </c>
      <c r="D116" s="38"/>
      <c r="E116" s="39">
        <v>4</v>
      </c>
      <c r="F116" s="39">
        <v>2</v>
      </c>
      <c r="G116" s="68">
        <f t="shared" si="21"/>
        <v>6</v>
      </c>
      <c r="H116" s="38"/>
      <c r="I116" s="38"/>
      <c r="J116" s="39">
        <v>2</v>
      </c>
      <c r="K116" s="68">
        <f t="shared" si="25"/>
        <v>2</v>
      </c>
      <c r="L116" s="38"/>
      <c r="M116" s="39">
        <v>9</v>
      </c>
      <c r="N116" s="39">
        <v>6</v>
      </c>
      <c r="O116" s="68">
        <f t="shared" si="26"/>
        <v>15</v>
      </c>
      <c r="P116" s="38"/>
      <c r="Q116" s="39">
        <v>2</v>
      </c>
      <c r="R116" s="39">
        <v>1</v>
      </c>
      <c r="S116" s="68">
        <f t="shared" si="27"/>
        <v>3</v>
      </c>
      <c r="T116" s="49">
        <v>26</v>
      </c>
    </row>
    <row r="117" spans="1:20" ht="27.75" thickBot="1" x14ac:dyDescent="0.3">
      <c r="A117" s="315"/>
      <c r="B117" s="308"/>
      <c r="C117" s="37" t="s">
        <v>64</v>
      </c>
      <c r="D117" s="38"/>
      <c r="E117" s="39">
        <v>7</v>
      </c>
      <c r="F117" s="38"/>
      <c r="G117" s="68">
        <f t="shared" si="21"/>
        <v>7</v>
      </c>
      <c r="H117" s="38"/>
      <c r="I117" s="38"/>
      <c r="J117" s="38"/>
      <c r="K117" s="68">
        <f t="shared" si="25"/>
        <v>0</v>
      </c>
      <c r="L117" s="38"/>
      <c r="M117" s="38"/>
      <c r="N117" s="38"/>
      <c r="O117" s="68">
        <f t="shared" si="26"/>
        <v>0</v>
      </c>
      <c r="P117" s="50">
        <v>1</v>
      </c>
      <c r="Q117" s="38"/>
      <c r="R117" s="38"/>
      <c r="S117" s="68">
        <f t="shared" si="27"/>
        <v>1</v>
      </c>
      <c r="T117" s="49">
        <v>8</v>
      </c>
    </row>
    <row r="118" spans="1:20" ht="15.75" thickBot="1" x14ac:dyDescent="0.3">
      <c r="A118" s="315"/>
      <c r="B118" s="308"/>
      <c r="C118" s="42" t="s">
        <v>65</v>
      </c>
      <c r="D118" s="38"/>
      <c r="E118" s="38"/>
      <c r="F118" s="38"/>
      <c r="G118" s="68">
        <f t="shared" si="21"/>
        <v>0</v>
      </c>
      <c r="H118" s="38"/>
      <c r="I118" s="38"/>
      <c r="J118" s="38"/>
      <c r="K118" s="68">
        <f t="shared" si="25"/>
        <v>0</v>
      </c>
      <c r="L118" s="38"/>
      <c r="M118" s="38"/>
      <c r="N118" s="38"/>
      <c r="O118" s="68">
        <f t="shared" si="26"/>
        <v>0</v>
      </c>
      <c r="P118" s="38"/>
      <c r="Q118" s="38"/>
      <c r="R118" s="38"/>
      <c r="S118" s="68">
        <f t="shared" si="27"/>
        <v>0</v>
      </c>
      <c r="T118" s="49">
        <v>0</v>
      </c>
    </row>
    <row r="119" spans="1:20" ht="15.75" thickBot="1" x14ac:dyDescent="0.3">
      <c r="A119" s="315"/>
      <c r="B119" s="308"/>
      <c r="C119" s="42" t="s">
        <v>66</v>
      </c>
      <c r="D119" s="38"/>
      <c r="E119" s="38"/>
      <c r="F119" s="38"/>
      <c r="G119" s="68">
        <f t="shared" si="21"/>
        <v>0</v>
      </c>
      <c r="H119" s="38"/>
      <c r="I119" s="38"/>
      <c r="J119" s="38"/>
      <c r="K119" s="68">
        <f t="shared" si="25"/>
        <v>0</v>
      </c>
      <c r="L119" s="38"/>
      <c r="M119" s="38"/>
      <c r="N119" s="38"/>
      <c r="O119" s="68">
        <f t="shared" si="26"/>
        <v>0</v>
      </c>
      <c r="P119" s="38"/>
      <c r="Q119" s="38"/>
      <c r="R119" s="38"/>
      <c r="S119" s="68">
        <f t="shared" si="27"/>
        <v>0</v>
      </c>
      <c r="T119" s="49">
        <v>0</v>
      </c>
    </row>
    <row r="120" spans="1:20" ht="18.75" thickBot="1" x14ac:dyDescent="0.3">
      <c r="A120" s="316"/>
      <c r="B120" s="309"/>
      <c r="C120" s="42" t="s">
        <v>67</v>
      </c>
      <c r="D120" s="38"/>
      <c r="E120" s="38"/>
      <c r="F120" s="38"/>
      <c r="G120" s="68">
        <f t="shared" si="21"/>
        <v>0</v>
      </c>
      <c r="H120" s="38"/>
      <c r="I120" s="38"/>
      <c r="J120" s="38"/>
      <c r="K120" s="68">
        <f t="shared" si="25"/>
        <v>0</v>
      </c>
      <c r="L120" s="38"/>
      <c r="M120" s="38"/>
      <c r="N120" s="38"/>
      <c r="O120" s="68">
        <f t="shared" si="26"/>
        <v>0</v>
      </c>
      <c r="P120" s="38"/>
      <c r="Q120" s="38"/>
      <c r="R120" s="38"/>
      <c r="S120" s="68">
        <f t="shared" si="27"/>
        <v>0</v>
      </c>
      <c r="T120" s="49">
        <v>0</v>
      </c>
    </row>
    <row r="121" spans="1:20" ht="15.75" thickBot="1" x14ac:dyDescent="0.3">
      <c r="A121" s="71"/>
      <c r="B121" s="72"/>
      <c r="C121" s="72"/>
      <c r="D121" s="72"/>
      <c r="E121" s="72"/>
      <c r="F121" s="72"/>
      <c r="G121" s="73">
        <f>SUM(G109:G120)</f>
        <v>14</v>
      </c>
      <c r="H121" s="73"/>
      <c r="I121" s="73"/>
      <c r="J121" s="73"/>
      <c r="K121" s="73">
        <f>SUM(K110:K120)</f>
        <v>8</v>
      </c>
      <c r="L121" s="73"/>
      <c r="M121" s="73"/>
      <c r="N121" s="73"/>
      <c r="O121" s="73">
        <f>SUM(O109:O120)</f>
        <v>22</v>
      </c>
      <c r="P121" s="73"/>
      <c r="Q121" s="73"/>
      <c r="R121" s="74"/>
      <c r="S121" s="73">
        <f>SUM(S109:S120)</f>
        <v>10</v>
      </c>
      <c r="T121" s="63">
        <f>SUM(T109:T120)</f>
        <v>54</v>
      </c>
    </row>
    <row r="122" spans="1:20" ht="15.75" thickBot="1" x14ac:dyDescent="0.3">
      <c r="A122" s="292">
        <v>10</v>
      </c>
      <c r="B122" s="314" t="s">
        <v>26</v>
      </c>
      <c r="C122" s="37" t="s">
        <v>56</v>
      </c>
      <c r="D122" s="38"/>
      <c r="E122" s="39">
        <v>2</v>
      </c>
      <c r="F122" s="38"/>
      <c r="G122" s="68">
        <f t="shared" si="21"/>
        <v>2</v>
      </c>
      <c r="H122" s="38"/>
      <c r="I122" s="38"/>
      <c r="J122" s="38"/>
      <c r="K122" s="68">
        <f t="shared" ref="K122:K133" si="28">H122+I122+J122</f>
        <v>0</v>
      </c>
      <c r="L122" s="38"/>
      <c r="M122" s="38"/>
      <c r="N122" s="38"/>
      <c r="O122" s="68">
        <f t="shared" ref="O122:O133" si="29">L122+M122+N122</f>
        <v>0</v>
      </c>
      <c r="P122" s="38"/>
      <c r="Q122" s="38"/>
      <c r="R122" s="38"/>
      <c r="S122" s="68">
        <f t="shared" ref="S122:S133" si="30">P122+Q122+R122</f>
        <v>0</v>
      </c>
      <c r="T122" s="49">
        <v>2</v>
      </c>
    </row>
    <row r="123" spans="1:20" ht="18.75" thickBot="1" x14ac:dyDescent="0.3">
      <c r="A123" s="293"/>
      <c r="B123" s="315"/>
      <c r="C123" s="37" t="s">
        <v>57</v>
      </c>
      <c r="D123" s="38"/>
      <c r="E123" s="38"/>
      <c r="F123" s="38"/>
      <c r="G123" s="68">
        <f t="shared" si="21"/>
        <v>0</v>
      </c>
      <c r="H123" s="38"/>
      <c r="I123" s="38"/>
      <c r="J123" s="38"/>
      <c r="K123" s="68">
        <f t="shared" si="28"/>
        <v>0</v>
      </c>
      <c r="L123" s="38"/>
      <c r="M123" s="38"/>
      <c r="N123" s="38"/>
      <c r="O123" s="68">
        <f t="shared" si="29"/>
        <v>0</v>
      </c>
      <c r="P123" s="38"/>
      <c r="Q123" s="38"/>
      <c r="R123" s="38"/>
      <c r="S123" s="68">
        <f t="shared" si="30"/>
        <v>0</v>
      </c>
      <c r="T123" s="49">
        <v>0</v>
      </c>
    </row>
    <row r="124" spans="1:20" ht="18.75" thickBot="1" x14ac:dyDescent="0.3">
      <c r="A124" s="293"/>
      <c r="B124" s="315"/>
      <c r="C124" s="37" t="s">
        <v>58</v>
      </c>
      <c r="D124" s="44">
        <v>1</v>
      </c>
      <c r="E124" s="39">
        <v>1</v>
      </c>
      <c r="F124" s="38"/>
      <c r="G124" s="68">
        <f t="shared" si="21"/>
        <v>2</v>
      </c>
      <c r="H124" s="38"/>
      <c r="I124" s="38"/>
      <c r="J124" s="38"/>
      <c r="K124" s="68">
        <f t="shared" si="28"/>
        <v>0</v>
      </c>
      <c r="L124" s="38"/>
      <c r="M124" s="38"/>
      <c r="N124" s="38"/>
      <c r="O124" s="68">
        <f t="shared" si="29"/>
        <v>0</v>
      </c>
      <c r="P124" s="38"/>
      <c r="Q124" s="38"/>
      <c r="R124" s="38"/>
      <c r="S124" s="68">
        <f t="shared" si="30"/>
        <v>0</v>
      </c>
      <c r="T124" s="49">
        <v>2</v>
      </c>
    </row>
    <row r="125" spans="1:20" ht="18.75" thickBot="1" x14ac:dyDescent="0.3">
      <c r="A125" s="293"/>
      <c r="B125" s="315"/>
      <c r="C125" s="37" t="s">
        <v>59</v>
      </c>
      <c r="D125" s="38"/>
      <c r="E125" s="38"/>
      <c r="F125" s="38"/>
      <c r="G125" s="68">
        <f t="shared" si="21"/>
        <v>0</v>
      </c>
      <c r="H125" s="38"/>
      <c r="I125" s="38"/>
      <c r="J125" s="38"/>
      <c r="K125" s="68">
        <f t="shared" si="28"/>
        <v>0</v>
      </c>
      <c r="L125" s="38"/>
      <c r="M125" s="38"/>
      <c r="N125" s="38"/>
      <c r="O125" s="68">
        <f t="shared" si="29"/>
        <v>0</v>
      </c>
      <c r="P125" s="38"/>
      <c r="Q125" s="38"/>
      <c r="R125" s="38"/>
      <c r="S125" s="68">
        <f t="shared" si="30"/>
        <v>0</v>
      </c>
      <c r="T125" s="49">
        <v>0</v>
      </c>
    </row>
    <row r="126" spans="1:20" ht="18.75" thickBot="1" x14ac:dyDescent="0.3">
      <c r="A126" s="293"/>
      <c r="B126" s="315"/>
      <c r="C126" s="37" t="s">
        <v>60</v>
      </c>
      <c r="D126" s="38"/>
      <c r="E126" s="38"/>
      <c r="F126" s="38"/>
      <c r="G126" s="68">
        <f t="shared" si="21"/>
        <v>0</v>
      </c>
      <c r="H126" s="38"/>
      <c r="I126" s="38"/>
      <c r="J126" s="38"/>
      <c r="K126" s="68">
        <f t="shared" si="28"/>
        <v>0</v>
      </c>
      <c r="L126" s="38"/>
      <c r="M126" s="38"/>
      <c r="N126" s="38"/>
      <c r="O126" s="68">
        <f t="shared" si="29"/>
        <v>0</v>
      </c>
      <c r="P126" s="38"/>
      <c r="Q126" s="38"/>
      <c r="R126" s="38"/>
      <c r="S126" s="68">
        <f t="shared" si="30"/>
        <v>0</v>
      </c>
      <c r="T126" s="49">
        <v>0</v>
      </c>
    </row>
    <row r="127" spans="1:20" ht="18.75" thickBot="1" x14ac:dyDescent="0.3">
      <c r="A127" s="293"/>
      <c r="B127" s="315"/>
      <c r="C127" s="37" t="s">
        <v>61</v>
      </c>
      <c r="D127" s="38"/>
      <c r="E127" s="38"/>
      <c r="F127" s="38"/>
      <c r="G127" s="68">
        <f t="shared" si="21"/>
        <v>0</v>
      </c>
      <c r="H127" s="38"/>
      <c r="I127" s="38"/>
      <c r="J127" s="38"/>
      <c r="K127" s="68">
        <f t="shared" si="28"/>
        <v>0</v>
      </c>
      <c r="L127" s="38"/>
      <c r="M127" s="38"/>
      <c r="N127" s="38"/>
      <c r="O127" s="68">
        <f t="shared" si="29"/>
        <v>0</v>
      </c>
      <c r="P127" s="38"/>
      <c r="Q127" s="38"/>
      <c r="R127" s="38"/>
      <c r="S127" s="68">
        <f t="shared" si="30"/>
        <v>0</v>
      </c>
      <c r="T127" s="49">
        <v>0</v>
      </c>
    </row>
    <row r="128" spans="1:20" ht="18.75" thickBot="1" x14ac:dyDescent="0.3">
      <c r="A128" s="293"/>
      <c r="B128" s="315"/>
      <c r="C128" s="37" t="s">
        <v>62</v>
      </c>
      <c r="D128" s="38"/>
      <c r="E128" s="39">
        <v>1</v>
      </c>
      <c r="F128" s="38"/>
      <c r="G128" s="68">
        <f t="shared" si="21"/>
        <v>1</v>
      </c>
      <c r="H128" s="39">
        <v>4</v>
      </c>
      <c r="I128" s="38"/>
      <c r="J128" s="39">
        <v>1</v>
      </c>
      <c r="K128" s="68">
        <f t="shared" si="28"/>
        <v>5</v>
      </c>
      <c r="L128" s="39">
        <v>1</v>
      </c>
      <c r="M128" s="39">
        <v>3</v>
      </c>
      <c r="N128" s="39">
        <v>2</v>
      </c>
      <c r="O128" s="68">
        <f t="shared" si="29"/>
        <v>6</v>
      </c>
      <c r="P128" s="50">
        <v>1</v>
      </c>
      <c r="Q128" s="38"/>
      <c r="R128" s="38"/>
      <c r="S128" s="68">
        <f t="shared" si="30"/>
        <v>1</v>
      </c>
      <c r="T128" s="49">
        <v>13</v>
      </c>
    </row>
    <row r="129" spans="1:20" ht="18.75" thickBot="1" x14ac:dyDescent="0.3">
      <c r="A129" s="293"/>
      <c r="B129" s="315"/>
      <c r="C129" s="37" t="s">
        <v>63</v>
      </c>
      <c r="D129" s="44">
        <v>1</v>
      </c>
      <c r="E129" s="39">
        <v>1</v>
      </c>
      <c r="F129" s="38"/>
      <c r="G129" s="68">
        <f t="shared" si="21"/>
        <v>2</v>
      </c>
      <c r="H129" s="39">
        <v>1</v>
      </c>
      <c r="I129" s="38"/>
      <c r="J129" s="38"/>
      <c r="K129" s="68">
        <f t="shared" si="28"/>
        <v>1</v>
      </c>
      <c r="L129" s="39">
        <v>1</v>
      </c>
      <c r="M129" s="39">
        <v>7</v>
      </c>
      <c r="N129" s="39">
        <v>3</v>
      </c>
      <c r="O129" s="68">
        <f t="shared" si="29"/>
        <v>11</v>
      </c>
      <c r="P129" s="38"/>
      <c r="Q129" s="38"/>
      <c r="R129" s="38"/>
      <c r="S129" s="68">
        <f t="shared" si="30"/>
        <v>0</v>
      </c>
      <c r="T129" s="49">
        <v>14</v>
      </c>
    </row>
    <row r="130" spans="1:20" ht="27.75" thickBot="1" x14ac:dyDescent="0.3">
      <c r="A130" s="293"/>
      <c r="B130" s="315"/>
      <c r="C130" s="37" t="s">
        <v>64</v>
      </c>
      <c r="D130" s="38"/>
      <c r="E130" s="38"/>
      <c r="F130" s="38"/>
      <c r="G130" s="68">
        <f t="shared" si="21"/>
        <v>0</v>
      </c>
      <c r="H130" s="38"/>
      <c r="I130" s="38"/>
      <c r="J130" s="38"/>
      <c r="K130" s="68">
        <f t="shared" si="28"/>
        <v>0</v>
      </c>
      <c r="L130" s="38"/>
      <c r="M130" s="38"/>
      <c r="N130" s="38"/>
      <c r="O130" s="68">
        <f t="shared" si="29"/>
        <v>0</v>
      </c>
      <c r="P130" s="38"/>
      <c r="Q130" s="38"/>
      <c r="R130" s="38"/>
      <c r="S130" s="68">
        <f t="shared" si="30"/>
        <v>0</v>
      </c>
      <c r="T130" s="49">
        <v>0</v>
      </c>
    </row>
    <row r="131" spans="1:20" ht="15.75" thickBot="1" x14ac:dyDescent="0.3">
      <c r="A131" s="293"/>
      <c r="B131" s="315"/>
      <c r="C131" s="42" t="s">
        <v>65</v>
      </c>
      <c r="D131" s="38"/>
      <c r="E131" s="38"/>
      <c r="F131" s="38"/>
      <c r="G131" s="68">
        <f t="shared" si="21"/>
        <v>0</v>
      </c>
      <c r="H131" s="38"/>
      <c r="I131" s="38"/>
      <c r="J131" s="38"/>
      <c r="K131" s="68">
        <f t="shared" si="28"/>
        <v>0</v>
      </c>
      <c r="L131" s="38"/>
      <c r="M131" s="38"/>
      <c r="N131" s="38"/>
      <c r="O131" s="68">
        <f t="shared" si="29"/>
        <v>0</v>
      </c>
      <c r="P131" s="38"/>
      <c r="Q131" s="38"/>
      <c r="R131" s="38"/>
      <c r="S131" s="68">
        <f t="shared" si="30"/>
        <v>0</v>
      </c>
      <c r="T131" s="49">
        <v>0</v>
      </c>
    </row>
    <row r="132" spans="1:20" ht="15.75" thickBot="1" x14ac:dyDescent="0.3">
      <c r="A132" s="293"/>
      <c r="B132" s="315"/>
      <c r="C132" s="42" t="s">
        <v>66</v>
      </c>
      <c r="D132" s="38"/>
      <c r="E132" s="38"/>
      <c r="F132" s="38"/>
      <c r="G132" s="68">
        <f t="shared" si="21"/>
        <v>0</v>
      </c>
      <c r="H132" s="38"/>
      <c r="I132" s="38"/>
      <c r="J132" s="38"/>
      <c r="K132" s="68">
        <f t="shared" si="28"/>
        <v>0</v>
      </c>
      <c r="L132" s="38"/>
      <c r="M132" s="38"/>
      <c r="N132" s="38"/>
      <c r="O132" s="68">
        <f t="shared" si="29"/>
        <v>0</v>
      </c>
      <c r="P132" s="50">
        <v>2</v>
      </c>
      <c r="Q132" s="38"/>
      <c r="R132" s="38"/>
      <c r="S132" s="68">
        <f t="shared" si="30"/>
        <v>2</v>
      </c>
      <c r="T132" s="49">
        <v>2</v>
      </c>
    </row>
    <row r="133" spans="1:20" ht="18.75" thickBot="1" x14ac:dyDescent="0.3">
      <c r="A133" s="306"/>
      <c r="B133" s="316"/>
      <c r="C133" s="42" t="s">
        <v>67</v>
      </c>
      <c r="D133" s="38"/>
      <c r="E133" s="38"/>
      <c r="F133" s="38"/>
      <c r="G133" s="68">
        <f t="shared" si="21"/>
        <v>0</v>
      </c>
      <c r="H133" s="38"/>
      <c r="I133" s="38"/>
      <c r="J133" s="38"/>
      <c r="K133" s="68">
        <f t="shared" si="28"/>
        <v>0</v>
      </c>
      <c r="L133" s="38"/>
      <c r="M133" s="38"/>
      <c r="N133" s="38"/>
      <c r="O133" s="68">
        <f t="shared" si="29"/>
        <v>0</v>
      </c>
      <c r="P133" s="50">
        <v>2</v>
      </c>
      <c r="Q133" s="38"/>
      <c r="R133" s="38"/>
      <c r="S133" s="68">
        <f t="shared" si="30"/>
        <v>2</v>
      </c>
      <c r="T133" s="49">
        <v>2</v>
      </c>
    </row>
    <row r="134" spans="1:20" ht="15.75" thickBot="1" x14ac:dyDescent="0.3">
      <c r="A134" s="71"/>
      <c r="B134" s="72"/>
      <c r="C134" s="72"/>
      <c r="D134" s="72"/>
      <c r="E134" s="72"/>
      <c r="F134" s="72"/>
      <c r="G134" s="73">
        <f>SUM(G122:G133)</f>
        <v>7</v>
      </c>
      <c r="H134" s="73"/>
      <c r="I134" s="73"/>
      <c r="J134" s="73"/>
      <c r="K134" s="73">
        <f>SUM(K123:K133)</f>
        <v>6</v>
      </c>
      <c r="L134" s="73"/>
      <c r="M134" s="73"/>
      <c r="N134" s="73"/>
      <c r="O134" s="73">
        <f>SUM(O122:O133)</f>
        <v>17</v>
      </c>
      <c r="P134" s="73"/>
      <c r="Q134" s="73"/>
      <c r="R134" s="74"/>
      <c r="S134" s="73">
        <f>SUM(S122:S133)</f>
        <v>5</v>
      </c>
      <c r="T134" s="63">
        <f>SUM(T122:T133)</f>
        <v>35</v>
      </c>
    </row>
    <row r="135" spans="1:20" ht="15.75" thickBot="1" x14ac:dyDescent="0.3">
      <c r="A135" s="292">
        <v>11</v>
      </c>
      <c r="B135" s="314" t="s">
        <v>32</v>
      </c>
      <c r="C135" s="37" t="s">
        <v>56</v>
      </c>
      <c r="D135" s="41"/>
      <c r="E135" s="39">
        <v>1</v>
      </c>
      <c r="F135" s="41"/>
      <c r="G135" s="68">
        <f t="shared" si="21"/>
        <v>1</v>
      </c>
      <c r="H135" s="41"/>
      <c r="I135" s="39">
        <v>1</v>
      </c>
      <c r="J135" s="41"/>
      <c r="K135" s="68">
        <f t="shared" ref="K135:K146" si="31">H135+I135+J135</f>
        <v>1</v>
      </c>
      <c r="L135" s="41"/>
      <c r="M135" s="41"/>
      <c r="N135" s="41"/>
      <c r="O135" s="68">
        <f t="shared" ref="O135:O146" si="32">L135+M135+N135</f>
        <v>0</v>
      </c>
      <c r="P135" s="41"/>
      <c r="Q135" s="41"/>
      <c r="R135" s="41"/>
      <c r="S135" s="68">
        <f t="shared" ref="S135:S146" si="33">P135+Q135+R135</f>
        <v>0</v>
      </c>
      <c r="T135" s="49">
        <v>2</v>
      </c>
    </row>
    <row r="136" spans="1:20" ht="18.75" thickBot="1" x14ac:dyDescent="0.3">
      <c r="A136" s="293"/>
      <c r="B136" s="315"/>
      <c r="C136" s="37" t="s">
        <v>57</v>
      </c>
      <c r="D136" s="38"/>
      <c r="E136" s="38"/>
      <c r="F136" s="38"/>
      <c r="G136" s="68">
        <f t="shared" si="21"/>
        <v>0</v>
      </c>
      <c r="H136" s="38"/>
      <c r="I136" s="38"/>
      <c r="J136" s="38"/>
      <c r="K136" s="68">
        <f t="shared" si="31"/>
        <v>0</v>
      </c>
      <c r="L136" s="38"/>
      <c r="M136" s="38"/>
      <c r="N136" s="38"/>
      <c r="O136" s="68">
        <f t="shared" si="32"/>
        <v>0</v>
      </c>
      <c r="P136" s="38"/>
      <c r="Q136" s="38"/>
      <c r="R136" s="38"/>
      <c r="S136" s="68">
        <f t="shared" si="33"/>
        <v>0</v>
      </c>
      <c r="T136" s="49">
        <v>0</v>
      </c>
    </row>
    <row r="137" spans="1:20" ht="18.75" thickBot="1" x14ac:dyDescent="0.3">
      <c r="A137" s="293"/>
      <c r="B137" s="315"/>
      <c r="C137" s="37" t="s">
        <v>58</v>
      </c>
      <c r="D137" s="44">
        <v>3</v>
      </c>
      <c r="E137" s="39">
        <v>3</v>
      </c>
      <c r="F137" s="38"/>
      <c r="G137" s="68">
        <f t="shared" si="21"/>
        <v>6</v>
      </c>
      <c r="H137" s="38"/>
      <c r="I137" s="39">
        <v>3</v>
      </c>
      <c r="J137" s="39">
        <v>2</v>
      </c>
      <c r="K137" s="68">
        <f t="shared" si="31"/>
        <v>5</v>
      </c>
      <c r="L137" s="38"/>
      <c r="M137" s="38"/>
      <c r="N137" s="38"/>
      <c r="O137" s="68">
        <f t="shared" si="32"/>
        <v>0</v>
      </c>
      <c r="P137" s="38"/>
      <c r="Q137" s="38"/>
      <c r="R137" s="38"/>
      <c r="S137" s="68">
        <f t="shared" si="33"/>
        <v>0</v>
      </c>
      <c r="T137" s="49">
        <v>11</v>
      </c>
    </row>
    <row r="138" spans="1:20" ht="18.75" thickBot="1" x14ac:dyDescent="0.3">
      <c r="A138" s="293"/>
      <c r="B138" s="315"/>
      <c r="C138" s="37" t="s">
        <v>59</v>
      </c>
      <c r="D138" s="38"/>
      <c r="E138" s="38"/>
      <c r="F138" s="38"/>
      <c r="G138" s="68">
        <f t="shared" si="21"/>
        <v>0</v>
      </c>
      <c r="H138" s="38"/>
      <c r="I138" s="38"/>
      <c r="J138" s="38"/>
      <c r="K138" s="68">
        <f t="shared" si="31"/>
        <v>0</v>
      </c>
      <c r="L138" s="38"/>
      <c r="M138" s="38"/>
      <c r="N138" s="38"/>
      <c r="O138" s="68">
        <f t="shared" si="32"/>
        <v>0</v>
      </c>
      <c r="P138" s="38"/>
      <c r="Q138" s="38"/>
      <c r="R138" s="38"/>
      <c r="S138" s="68">
        <f t="shared" si="33"/>
        <v>0</v>
      </c>
      <c r="T138" s="49">
        <v>0</v>
      </c>
    </row>
    <row r="139" spans="1:20" ht="18.75" thickBot="1" x14ac:dyDescent="0.3">
      <c r="A139" s="293"/>
      <c r="B139" s="315"/>
      <c r="C139" s="37" t="s">
        <v>60</v>
      </c>
      <c r="D139" s="38"/>
      <c r="E139" s="38"/>
      <c r="F139" s="38"/>
      <c r="G139" s="68">
        <f t="shared" si="21"/>
        <v>0</v>
      </c>
      <c r="H139" s="38"/>
      <c r="I139" s="38"/>
      <c r="J139" s="38"/>
      <c r="K139" s="68">
        <f t="shared" si="31"/>
        <v>0</v>
      </c>
      <c r="L139" s="38"/>
      <c r="M139" s="38"/>
      <c r="N139" s="38"/>
      <c r="O139" s="68">
        <f t="shared" si="32"/>
        <v>0</v>
      </c>
      <c r="P139" s="38"/>
      <c r="Q139" s="38"/>
      <c r="R139" s="38"/>
      <c r="S139" s="68">
        <f t="shared" si="33"/>
        <v>0</v>
      </c>
      <c r="T139" s="49">
        <v>0</v>
      </c>
    </row>
    <row r="140" spans="1:20" ht="18.75" thickBot="1" x14ac:dyDescent="0.3">
      <c r="A140" s="293"/>
      <c r="B140" s="315"/>
      <c r="C140" s="37" t="s">
        <v>61</v>
      </c>
      <c r="D140" s="38"/>
      <c r="E140" s="38"/>
      <c r="F140" s="38"/>
      <c r="G140" s="68">
        <f t="shared" si="21"/>
        <v>0</v>
      </c>
      <c r="H140" s="38"/>
      <c r="I140" s="38"/>
      <c r="J140" s="38"/>
      <c r="K140" s="68">
        <f t="shared" si="31"/>
        <v>0</v>
      </c>
      <c r="L140" s="38"/>
      <c r="M140" s="38"/>
      <c r="N140" s="38"/>
      <c r="O140" s="68">
        <f t="shared" si="32"/>
        <v>0</v>
      </c>
      <c r="P140" s="38"/>
      <c r="Q140" s="38"/>
      <c r="R140" s="38"/>
      <c r="S140" s="68">
        <f t="shared" si="33"/>
        <v>0</v>
      </c>
      <c r="T140" s="49">
        <v>0</v>
      </c>
    </row>
    <row r="141" spans="1:20" ht="18.75" thickBot="1" x14ac:dyDescent="0.3">
      <c r="A141" s="293"/>
      <c r="B141" s="315"/>
      <c r="C141" s="37" t="s">
        <v>62</v>
      </c>
      <c r="D141" s="44">
        <v>3</v>
      </c>
      <c r="E141" s="39">
        <v>5</v>
      </c>
      <c r="F141" s="39">
        <v>3</v>
      </c>
      <c r="G141" s="68">
        <f t="shared" si="21"/>
        <v>11</v>
      </c>
      <c r="H141" s="39">
        <v>6</v>
      </c>
      <c r="I141" s="39">
        <v>3</v>
      </c>
      <c r="J141" s="39">
        <v>4</v>
      </c>
      <c r="K141" s="68">
        <f t="shared" si="31"/>
        <v>13</v>
      </c>
      <c r="L141" s="39">
        <v>3</v>
      </c>
      <c r="M141" s="39">
        <v>4</v>
      </c>
      <c r="N141" s="39">
        <v>10</v>
      </c>
      <c r="O141" s="68">
        <f t="shared" si="32"/>
        <v>17</v>
      </c>
      <c r="P141" s="50">
        <v>10</v>
      </c>
      <c r="Q141" s="39">
        <v>5</v>
      </c>
      <c r="R141" s="39">
        <v>6</v>
      </c>
      <c r="S141" s="68">
        <f t="shared" si="33"/>
        <v>21</v>
      </c>
      <c r="T141" s="49">
        <v>62</v>
      </c>
    </row>
    <row r="142" spans="1:20" ht="18.75" thickBot="1" x14ac:dyDescent="0.3">
      <c r="A142" s="293"/>
      <c r="B142" s="315"/>
      <c r="C142" s="37" t="s">
        <v>63</v>
      </c>
      <c r="D142" s="44">
        <v>3</v>
      </c>
      <c r="E142" s="39">
        <v>2</v>
      </c>
      <c r="F142" s="39">
        <v>6</v>
      </c>
      <c r="G142" s="68">
        <f t="shared" si="21"/>
        <v>11</v>
      </c>
      <c r="H142" s="39">
        <v>1</v>
      </c>
      <c r="I142" s="39">
        <v>2</v>
      </c>
      <c r="J142" s="43"/>
      <c r="K142" s="68">
        <f t="shared" si="31"/>
        <v>3</v>
      </c>
      <c r="L142" s="39">
        <v>4</v>
      </c>
      <c r="M142" s="43"/>
      <c r="N142" s="39">
        <v>1</v>
      </c>
      <c r="O142" s="68">
        <f t="shared" si="32"/>
        <v>5</v>
      </c>
      <c r="P142" s="50">
        <v>3</v>
      </c>
      <c r="Q142" s="39">
        <v>1</v>
      </c>
      <c r="R142" s="39">
        <v>2</v>
      </c>
      <c r="S142" s="68">
        <f t="shared" si="33"/>
        <v>6</v>
      </c>
      <c r="T142" s="49">
        <v>25</v>
      </c>
    </row>
    <row r="143" spans="1:20" ht="27.75" thickBot="1" x14ac:dyDescent="0.3">
      <c r="A143" s="293"/>
      <c r="B143" s="315"/>
      <c r="C143" s="37" t="s">
        <v>64</v>
      </c>
      <c r="D143" s="38"/>
      <c r="E143" s="38"/>
      <c r="F143" s="39">
        <v>1</v>
      </c>
      <c r="G143" s="68">
        <f t="shared" si="21"/>
        <v>1</v>
      </c>
      <c r="H143" s="38"/>
      <c r="I143" s="38"/>
      <c r="J143" s="38"/>
      <c r="K143" s="68">
        <f t="shared" si="31"/>
        <v>0</v>
      </c>
      <c r="L143" s="38"/>
      <c r="M143" s="38"/>
      <c r="N143" s="38"/>
      <c r="O143" s="68">
        <f t="shared" si="32"/>
        <v>0</v>
      </c>
      <c r="P143" s="38"/>
      <c r="Q143" s="38"/>
      <c r="R143" s="38"/>
      <c r="S143" s="68">
        <f t="shared" si="33"/>
        <v>0</v>
      </c>
      <c r="T143" s="49">
        <v>1</v>
      </c>
    </row>
    <row r="144" spans="1:20" ht="15.75" thickBot="1" x14ac:dyDescent="0.3">
      <c r="A144" s="293"/>
      <c r="B144" s="315"/>
      <c r="C144" s="42" t="s">
        <v>65</v>
      </c>
      <c r="D144" s="38"/>
      <c r="E144" s="38"/>
      <c r="F144" s="38"/>
      <c r="G144" s="68">
        <f t="shared" si="21"/>
        <v>0</v>
      </c>
      <c r="H144" s="38"/>
      <c r="I144" s="38"/>
      <c r="J144" s="38"/>
      <c r="K144" s="68">
        <f t="shared" si="31"/>
        <v>0</v>
      </c>
      <c r="L144" s="38"/>
      <c r="M144" s="39">
        <v>1</v>
      </c>
      <c r="N144" s="38"/>
      <c r="O144" s="68">
        <f t="shared" si="32"/>
        <v>1</v>
      </c>
      <c r="P144" s="38"/>
      <c r="Q144" s="38"/>
      <c r="R144" s="38"/>
      <c r="S144" s="68">
        <f t="shared" si="33"/>
        <v>0</v>
      </c>
      <c r="T144" s="49">
        <v>1</v>
      </c>
    </row>
    <row r="145" spans="1:20" ht="15.75" thickBot="1" x14ac:dyDescent="0.3">
      <c r="A145" s="293"/>
      <c r="B145" s="315"/>
      <c r="C145" s="42" t="s">
        <v>66</v>
      </c>
      <c r="D145" s="38"/>
      <c r="E145" s="38"/>
      <c r="F145" s="38"/>
      <c r="G145" s="68">
        <f t="shared" si="21"/>
        <v>0</v>
      </c>
      <c r="H145" s="38"/>
      <c r="I145" s="38"/>
      <c r="J145" s="38"/>
      <c r="K145" s="68">
        <f t="shared" si="31"/>
        <v>0</v>
      </c>
      <c r="L145" s="38"/>
      <c r="M145" s="38"/>
      <c r="N145" s="39">
        <v>2</v>
      </c>
      <c r="O145" s="68">
        <f t="shared" si="32"/>
        <v>2</v>
      </c>
      <c r="P145" s="50">
        <v>14</v>
      </c>
      <c r="Q145" s="39">
        <v>7</v>
      </c>
      <c r="R145" s="38"/>
      <c r="S145" s="68">
        <f t="shared" si="33"/>
        <v>21</v>
      </c>
      <c r="T145" s="49">
        <v>23</v>
      </c>
    </row>
    <row r="146" spans="1:20" ht="18.75" thickBot="1" x14ac:dyDescent="0.3">
      <c r="A146" s="306"/>
      <c r="B146" s="316"/>
      <c r="C146" s="42" t="s">
        <v>67</v>
      </c>
      <c r="D146" s="38"/>
      <c r="E146" s="38"/>
      <c r="F146" s="38"/>
      <c r="G146" s="68">
        <f t="shared" si="21"/>
        <v>0</v>
      </c>
      <c r="H146" s="38"/>
      <c r="I146" s="38"/>
      <c r="J146" s="38"/>
      <c r="K146" s="68">
        <f t="shared" si="31"/>
        <v>0</v>
      </c>
      <c r="L146" s="38"/>
      <c r="M146" s="38"/>
      <c r="N146" s="38"/>
      <c r="O146" s="68">
        <f t="shared" si="32"/>
        <v>0</v>
      </c>
      <c r="P146" s="38"/>
      <c r="Q146" s="38"/>
      <c r="R146" s="38"/>
      <c r="S146" s="68">
        <f t="shared" si="33"/>
        <v>0</v>
      </c>
      <c r="T146" s="49">
        <v>0</v>
      </c>
    </row>
    <row r="147" spans="1:20" ht="15" customHeight="1" thickBot="1" x14ac:dyDescent="0.3">
      <c r="A147" s="71"/>
      <c r="B147" s="72"/>
      <c r="C147" s="72"/>
      <c r="D147" s="72"/>
      <c r="E147" s="72"/>
      <c r="F147" s="72"/>
      <c r="G147" s="73">
        <f>SUM(G135:G146)</f>
        <v>30</v>
      </c>
      <c r="H147" s="73"/>
      <c r="I147" s="73"/>
      <c r="J147" s="73"/>
      <c r="K147" s="73">
        <f>SUM(K136:K146)</f>
        <v>21</v>
      </c>
      <c r="L147" s="73"/>
      <c r="M147" s="73"/>
      <c r="N147" s="73"/>
      <c r="O147" s="73">
        <f>SUM(O135:O146)</f>
        <v>25</v>
      </c>
      <c r="P147" s="73"/>
      <c r="Q147" s="73"/>
      <c r="R147" s="74"/>
      <c r="S147" s="73">
        <f>SUM(S135:S146)</f>
        <v>48</v>
      </c>
      <c r="T147" s="63">
        <f>SUM(T135:T146)</f>
        <v>125</v>
      </c>
    </row>
    <row r="148" spans="1:20" ht="15.75" thickBot="1" x14ac:dyDescent="0.3">
      <c r="A148" s="292">
        <v>12</v>
      </c>
      <c r="B148" s="307" t="s">
        <v>31</v>
      </c>
      <c r="C148" s="37" t="s">
        <v>56</v>
      </c>
      <c r="D148" s="38"/>
      <c r="E148" s="39">
        <v>3</v>
      </c>
      <c r="F148" s="38"/>
      <c r="G148" s="68">
        <f t="shared" si="21"/>
        <v>3</v>
      </c>
      <c r="H148" s="38"/>
      <c r="I148" s="38"/>
      <c r="J148" s="38"/>
      <c r="K148" s="68">
        <f t="shared" ref="K148:K159" si="34">H148+I148+J148</f>
        <v>0</v>
      </c>
      <c r="L148" s="38"/>
      <c r="M148" s="38"/>
      <c r="N148" s="38"/>
      <c r="O148" s="68">
        <f t="shared" ref="O148:O159" si="35">L148+M148+N148</f>
        <v>0</v>
      </c>
      <c r="P148" s="38"/>
      <c r="Q148" s="38"/>
      <c r="R148" s="38"/>
      <c r="S148" s="68">
        <f t="shared" ref="S148:S159" si="36">P148+Q148+R148</f>
        <v>0</v>
      </c>
      <c r="T148" s="49">
        <v>3</v>
      </c>
    </row>
    <row r="149" spans="1:20" ht="18.75" thickBot="1" x14ac:dyDescent="0.3">
      <c r="A149" s="293"/>
      <c r="B149" s="308"/>
      <c r="C149" s="37" t="s">
        <v>57</v>
      </c>
      <c r="D149" s="38"/>
      <c r="E149" s="38"/>
      <c r="F149" s="38"/>
      <c r="G149" s="68">
        <f t="shared" ref="G149:G159" si="37">D149+E149+F149</f>
        <v>0</v>
      </c>
      <c r="H149" s="38"/>
      <c r="I149" s="38"/>
      <c r="J149" s="38"/>
      <c r="K149" s="68">
        <f t="shared" si="34"/>
        <v>0</v>
      </c>
      <c r="L149" s="38"/>
      <c r="M149" s="38"/>
      <c r="N149" s="38"/>
      <c r="O149" s="68">
        <f t="shared" si="35"/>
        <v>0</v>
      </c>
      <c r="P149" s="38"/>
      <c r="Q149" s="38"/>
      <c r="R149" s="38"/>
      <c r="S149" s="68">
        <f t="shared" si="36"/>
        <v>0</v>
      </c>
      <c r="T149" s="49">
        <v>0</v>
      </c>
    </row>
    <row r="150" spans="1:20" ht="18.75" thickBot="1" x14ac:dyDescent="0.3">
      <c r="A150" s="293"/>
      <c r="B150" s="308"/>
      <c r="C150" s="37" t="s">
        <v>58</v>
      </c>
      <c r="D150" s="38"/>
      <c r="E150" s="39">
        <v>3</v>
      </c>
      <c r="F150" s="38"/>
      <c r="G150" s="68">
        <f t="shared" si="37"/>
        <v>3</v>
      </c>
      <c r="H150" s="38"/>
      <c r="I150" s="38"/>
      <c r="J150" s="38"/>
      <c r="K150" s="68">
        <f t="shared" si="34"/>
        <v>0</v>
      </c>
      <c r="L150" s="38"/>
      <c r="M150" s="38"/>
      <c r="N150" s="38"/>
      <c r="O150" s="68">
        <f t="shared" si="35"/>
        <v>0</v>
      </c>
      <c r="P150" s="38"/>
      <c r="Q150" s="38"/>
      <c r="R150" s="38"/>
      <c r="S150" s="68">
        <f t="shared" si="36"/>
        <v>0</v>
      </c>
      <c r="T150" s="49">
        <v>3</v>
      </c>
    </row>
    <row r="151" spans="1:20" ht="18.75" thickBot="1" x14ac:dyDescent="0.3">
      <c r="A151" s="293"/>
      <c r="B151" s="308"/>
      <c r="C151" s="37" t="s">
        <v>59</v>
      </c>
      <c r="D151" s="38"/>
      <c r="E151" s="38"/>
      <c r="F151" s="38"/>
      <c r="G151" s="68">
        <f t="shared" si="37"/>
        <v>0</v>
      </c>
      <c r="H151" s="38"/>
      <c r="I151" s="38"/>
      <c r="J151" s="38"/>
      <c r="K151" s="68">
        <f t="shared" si="34"/>
        <v>0</v>
      </c>
      <c r="L151" s="38"/>
      <c r="M151" s="38"/>
      <c r="N151" s="38"/>
      <c r="O151" s="68">
        <f t="shared" si="35"/>
        <v>0</v>
      </c>
      <c r="P151" s="38"/>
      <c r="Q151" s="38"/>
      <c r="R151" s="38"/>
      <c r="S151" s="68">
        <f t="shared" si="36"/>
        <v>0</v>
      </c>
      <c r="T151" s="49">
        <v>0</v>
      </c>
    </row>
    <row r="152" spans="1:20" ht="18.75" thickBot="1" x14ac:dyDescent="0.3">
      <c r="A152" s="293"/>
      <c r="B152" s="308"/>
      <c r="C152" s="37" t="s">
        <v>60</v>
      </c>
      <c r="D152" s="38"/>
      <c r="E152" s="38"/>
      <c r="F152" s="38"/>
      <c r="G152" s="68">
        <f t="shared" si="37"/>
        <v>0</v>
      </c>
      <c r="H152" s="38"/>
      <c r="I152" s="38"/>
      <c r="J152" s="38"/>
      <c r="K152" s="68">
        <f t="shared" si="34"/>
        <v>0</v>
      </c>
      <c r="L152" s="38"/>
      <c r="M152" s="38"/>
      <c r="N152" s="38"/>
      <c r="O152" s="68">
        <f t="shared" si="35"/>
        <v>0</v>
      </c>
      <c r="P152" s="38"/>
      <c r="Q152" s="38"/>
      <c r="R152" s="38"/>
      <c r="S152" s="68">
        <f t="shared" si="36"/>
        <v>0</v>
      </c>
      <c r="T152" s="49">
        <v>0</v>
      </c>
    </row>
    <row r="153" spans="1:20" ht="18.75" thickBot="1" x14ac:dyDescent="0.3">
      <c r="A153" s="293"/>
      <c r="B153" s="308"/>
      <c r="C153" s="37" t="s">
        <v>61</v>
      </c>
      <c r="D153" s="38"/>
      <c r="E153" s="38"/>
      <c r="F153" s="38"/>
      <c r="G153" s="68">
        <f t="shared" si="37"/>
        <v>0</v>
      </c>
      <c r="H153" s="38"/>
      <c r="I153" s="38"/>
      <c r="J153" s="38"/>
      <c r="K153" s="68">
        <f t="shared" si="34"/>
        <v>0</v>
      </c>
      <c r="L153" s="38"/>
      <c r="M153" s="38"/>
      <c r="N153" s="38"/>
      <c r="O153" s="68">
        <f t="shared" si="35"/>
        <v>0</v>
      </c>
      <c r="P153" s="38"/>
      <c r="Q153" s="38"/>
      <c r="R153" s="38"/>
      <c r="S153" s="68">
        <f t="shared" si="36"/>
        <v>0</v>
      </c>
      <c r="T153" s="49">
        <v>0</v>
      </c>
    </row>
    <row r="154" spans="1:20" ht="18.75" thickBot="1" x14ac:dyDescent="0.3">
      <c r="A154" s="293"/>
      <c r="B154" s="308"/>
      <c r="C154" s="37" t="s">
        <v>62</v>
      </c>
      <c r="D154" s="38"/>
      <c r="E154" s="38"/>
      <c r="F154" s="38"/>
      <c r="G154" s="68">
        <f t="shared" si="37"/>
        <v>0</v>
      </c>
      <c r="H154" s="39">
        <v>1</v>
      </c>
      <c r="I154" s="39">
        <v>2</v>
      </c>
      <c r="J154" s="38"/>
      <c r="K154" s="68">
        <f t="shared" si="34"/>
        <v>3</v>
      </c>
      <c r="L154" s="38"/>
      <c r="M154" s="38"/>
      <c r="N154" s="39">
        <v>3</v>
      </c>
      <c r="O154" s="68">
        <f t="shared" si="35"/>
        <v>3</v>
      </c>
      <c r="P154" s="38"/>
      <c r="Q154" s="39">
        <v>2</v>
      </c>
      <c r="R154" s="38"/>
      <c r="S154" s="68">
        <f t="shared" si="36"/>
        <v>2</v>
      </c>
      <c r="T154" s="49">
        <v>8</v>
      </c>
    </row>
    <row r="155" spans="1:20" ht="18.75" thickBot="1" x14ac:dyDescent="0.3">
      <c r="A155" s="293"/>
      <c r="B155" s="308"/>
      <c r="C155" s="37" t="s">
        <v>63</v>
      </c>
      <c r="D155" s="38"/>
      <c r="E155" s="39">
        <v>1</v>
      </c>
      <c r="F155" s="38"/>
      <c r="G155" s="68">
        <f t="shared" si="37"/>
        <v>1</v>
      </c>
      <c r="H155" s="38"/>
      <c r="I155" s="38"/>
      <c r="J155" s="38"/>
      <c r="K155" s="68">
        <f t="shared" si="34"/>
        <v>0</v>
      </c>
      <c r="L155" s="38"/>
      <c r="M155" s="38"/>
      <c r="N155" s="38"/>
      <c r="O155" s="68">
        <f t="shared" si="35"/>
        <v>0</v>
      </c>
      <c r="P155" s="38"/>
      <c r="Q155" s="39">
        <v>1</v>
      </c>
      <c r="R155" s="39">
        <v>2</v>
      </c>
      <c r="S155" s="68">
        <f t="shared" si="36"/>
        <v>3</v>
      </c>
      <c r="T155" s="49">
        <v>4</v>
      </c>
    </row>
    <row r="156" spans="1:20" ht="27.75" thickBot="1" x14ac:dyDescent="0.3">
      <c r="A156" s="293"/>
      <c r="B156" s="308"/>
      <c r="C156" s="37" t="s">
        <v>64</v>
      </c>
      <c r="D156" s="38"/>
      <c r="E156" s="38"/>
      <c r="F156" s="38"/>
      <c r="G156" s="68">
        <f t="shared" si="37"/>
        <v>0</v>
      </c>
      <c r="H156" s="38"/>
      <c r="I156" s="38"/>
      <c r="J156" s="38"/>
      <c r="K156" s="68">
        <f t="shared" si="34"/>
        <v>0</v>
      </c>
      <c r="L156" s="38"/>
      <c r="M156" s="38"/>
      <c r="N156" s="38"/>
      <c r="O156" s="68">
        <f t="shared" si="35"/>
        <v>0</v>
      </c>
      <c r="P156" s="38"/>
      <c r="Q156" s="38"/>
      <c r="R156" s="38"/>
      <c r="S156" s="68">
        <f t="shared" si="36"/>
        <v>0</v>
      </c>
      <c r="T156" s="49">
        <v>0</v>
      </c>
    </row>
    <row r="157" spans="1:20" ht="15.75" thickBot="1" x14ac:dyDescent="0.3">
      <c r="A157" s="293"/>
      <c r="B157" s="308"/>
      <c r="C157" s="42" t="s">
        <v>65</v>
      </c>
      <c r="D157" s="38"/>
      <c r="E157" s="38"/>
      <c r="F157" s="38"/>
      <c r="G157" s="68">
        <f t="shared" si="37"/>
        <v>0</v>
      </c>
      <c r="H157" s="38"/>
      <c r="I157" s="38"/>
      <c r="J157" s="38"/>
      <c r="K157" s="68">
        <f t="shared" si="34"/>
        <v>0</v>
      </c>
      <c r="L157" s="38"/>
      <c r="M157" s="38"/>
      <c r="N157" s="38"/>
      <c r="O157" s="68">
        <f t="shared" si="35"/>
        <v>0</v>
      </c>
      <c r="P157" s="38"/>
      <c r="Q157" s="38"/>
      <c r="R157" s="38"/>
      <c r="S157" s="68">
        <f t="shared" si="36"/>
        <v>0</v>
      </c>
      <c r="T157" s="49">
        <v>0</v>
      </c>
    </row>
    <row r="158" spans="1:20" ht="15.75" thickBot="1" x14ac:dyDescent="0.3">
      <c r="A158" s="293"/>
      <c r="B158" s="308"/>
      <c r="C158" s="42" t="s">
        <v>66</v>
      </c>
      <c r="D158" s="38"/>
      <c r="E158" s="38"/>
      <c r="F158" s="38"/>
      <c r="G158" s="68">
        <f t="shared" si="37"/>
        <v>0</v>
      </c>
      <c r="H158" s="38"/>
      <c r="I158" s="38"/>
      <c r="J158" s="38"/>
      <c r="K158" s="68">
        <f t="shared" si="34"/>
        <v>0</v>
      </c>
      <c r="L158" s="38"/>
      <c r="M158" s="38"/>
      <c r="N158" s="38"/>
      <c r="O158" s="68">
        <f t="shared" si="35"/>
        <v>0</v>
      </c>
      <c r="P158" s="38"/>
      <c r="Q158" s="38"/>
      <c r="R158" s="38"/>
      <c r="S158" s="68">
        <f t="shared" si="36"/>
        <v>0</v>
      </c>
      <c r="T158" s="49">
        <v>0</v>
      </c>
    </row>
    <row r="159" spans="1:20" ht="18.75" thickBot="1" x14ac:dyDescent="0.3">
      <c r="A159" s="306"/>
      <c r="B159" s="309"/>
      <c r="C159" s="42" t="s">
        <v>67</v>
      </c>
      <c r="D159" s="38"/>
      <c r="E159" s="38"/>
      <c r="F159" s="38"/>
      <c r="G159" s="68">
        <f t="shared" si="37"/>
        <v>0</v>
      </c>
      <c r="H159" s="38"/>
      <c r="I159" s="38"/>
      <c r="J159" s="38"/>
      <c r="K159" s="68">
        <f t="shared" si="34"/>
        <v>0</v>
      </c>
      <c r="L159" s="38"/>
      <c r="M159" s="38"/>
      <c r="N159" s="38"/>
      <c r="O159" s="68">
        <f t="shared" si="35"/>
        <v>0</v>
      </c>
      <c r="P159" s="38"/>
      <c r="Q159" s="38"/>
      <c r="R159" s="38"/>
      <c r="S159" s="68">
        <f t="shared" si="36"/>
        <v>0</v>
      </c>
      <c r="T159" s="49">
        <v>0</v>
      </c>
    </row>
    <row r="160" spans="1:20" ht="15" customHeight="1" thickBot="1" x14ac:dyDescent="0.3">
      <c r="A160" s="71"/>
      <c r="B160" s="72"/>
      <c r="C160" s="72"/>
      <c r="D160" s="72"/>
      <c r="E160" s="72"/>
      <c r="F160" s="72"/>
      <c r="G160" s="73">
        <f>SUM(G148:G159)</f>
        <v>7</v>
      </c>
      <c r="H160" s="73"/>
      <c r="I160" s="73"/>
      <c r="J160" s="73"/>
      <c r="K160" s="73">
        <f>SUM(K149:K159)</f>
        <v>3</v>
      </c>
      <c r="L160" s="73"/>
      <c r="M160" s="73"/>
      <c r="N160" s="73"/>
      <c r="O160" s="73">
        <f>SUM(O148:O159)</f>
        <v>3</v>
      </c>
      <c r="P160" s="73"/>
      <c r="Q160" s="73"/>
      <c r="R160" s="74"/>
      <c r="S160" s="73">
        <f>SUM(S148:S159)</f>
        <v>5</v>
      </c>
      <c r="T160" s="63">
        <f>SUM(T148:T159)</f>
        <v>18</v>
      </c>
    </row>
    <row r="161" spans="1:20" ht="15.75" thickBot="1" x14ac:dyDescent="0.3">
      <c r="A161" s="292">
        <v>13</v>
      </c>
      <c r="B161" s="314" t="s">
        <v>29</v>
      </c>
      <c r="C161" s="37" t="s">
        <v>56</v>
      </c>
      <c r="D161" s="38"/>
      <c r="E161" s="39">
        <v>1</v>
      </c>
      <c r="F161" s="38"/>
      <c r="G161" s="68">
        <f t="shared" ref="G161:G226" si="38">D161+E161+F161</f>
        <v>1</v>
      </c>
      <c r="H161" s="38"/>
      <c r="I161" s="39">
        <v>2</v>
      </c>
      <c r="J161" s="38"/>
      <c r="K161" s="68">
        <f t="shared" ref="K161:K172" si="39">H161+I161+J161</f>
        <v>2</v>
      </c>
      <c r="L161" s="38"/>
      <c r="M161" s="38"/>
      <c r="N161" s="38"/>
      <c r="O161" s="68">
        <f t="shared" ref="O161:O172" si="40">L161+M161+N161</f>
        <v>0</v>
      </c>
      <c r="P161" s="38"/>
      <c r="Q161" s="38"/>
      <c r="R161" s="38"/>
      <c r="S161" s="68">
        <f t="shared" ref="S161:S172" si="41">P161+Q161+R161</f>
        <v>0</v>
      </c>
      <c r="T161" s="49">
        <v>3</v>
      </c>
    </row>
    <row r="162" spans="1:20" ht="18.75" thickBot="1" x14ac:dyDescent="0.3">
      <c r="A162" s="293"/>
      <c r="B162" s="315"/>
      <c r="C162" s="37" t="s">
        <v>57</v>
      </c>
      <c r="D162" s="38"/>
      <c r="E162" s="38"/>
      <c r="F162" s="38"/>
      <c r="G162" s="68">
        <f t="shared" si="38"/>
        <v>0</v>
      </c>
      <c r="H162" s="38"/>
      <c r="I162" s="38"/>
      <c r="J162" s="38"/>
      <c r="K162" s="68">
        <f t="shared" si="39"/>
        <v>0</v>
      </c>
      <c r="L162" s="38"/>
      <c r="M162" s="38"/>
      <c r="N162" s="38"/>
      <c r="O162" s="68">
        <f t="shared" si="40"/>
        <v>0</v>
      </c>
      <c r="P162" s="38"/>
      <c r="Q162" s="38"/>
      <c r="R162" s="38"/>
      <c r="S162" s="68">
        <f t="shared" si="41"/>
        <v>0</v>
      </c>
      <c r="T162" s="49">
        <v>0</v>
      </c>
    </row>
    <row r="163" spans="1:20" ht="18.75" thickBot="1" x14ac:dyDescent="0.3">
      <c r="A163" s="293"/>
      <c r="B163" s="315"/>
      <c r="C163" s="37" t="s">
        <v>58</v>
      </c>
      <c r="D163" s="38"/>
      <c r="E163" s="38"/>
      <c r="F163" s="38"/>
      <c r="G163" s="68">
        <f t="shared" si="38"/>
        <v>0</v>
      </c>
      <c r="H163" s="38"/>
      <c r="I163" s="38"/>
      <c r="J163" s="38"/>
      <c r="K163" s="68">
        <f t="shared" si="39"/>
        <v>0</v>
      </c>
      <c r="L163" s="38"/>
      <c r="M163" s="38"/>
      <c r="N163" s="39">
        <v>1</v>
      </c>
      <c r="O163" s="68">
        <f t="shared" si="40"/>
        <v>1</v>
      </c>
      <c r="P163" s="38"/>
      <c r="Q163" s="38"/>
      <c r="R163" s="38"/>
      <c r="S163" s="68">
        <f t="shared" si="41"/>
        <v>0</v>
      </c>
      <c r="T163" s="49">
        <v>1</v>
      </c>
    </row>
    <row r="164" spans="1:20" ht="18.75" thickBot="1" x14ac:dyDescent="0.3">
      <c r="A164" s="293"/>
      <c r="B164" s="315"/>
      <c r="C164" s="37" t="s">
        <v>59</v>
      </c>
      <c r="D164" s="38"/>
      <c r="E164" s="38"/>
      <c r="F164" s="38"/>
      <c r="G164" s="68">
        <f t="shared" si="38"/>
        <v>0</v>
      </c>
      <c r="H164" s="38"/>
      <c r="I164" s="38"/>
      <c r="J164" s="38"/>
      <c r="K164" s="68">
        <f t="shared" si="39"/>
        <v>0</v>
      </c>
      <c r="L164" s="38"/>
      <c r="M164" s="38"/>
      <c r="N164" s="38"/>
      <c r="O164" s="68">
        <f t="shared" si="40"/>
        <v>0</v>
      </c>
      <c r="P164" s="38"/>
      <c r="Q164" s="38"/>
      <c r="R164" s="38"/>
      <c r="S164" s="68">
        <f t="shared" si="41"/>
        <v>0</v>
      </c>
      <c r="T164" s="49">
        <v>0</v>
      </c>
    </row>
    <row r="165" spans="1:20" ht="18.75" thickBot="1" x14ac:dyDescent="0.3">
      <c r="A165" s="293"/>
      <c r="B165" s="315"/>
      <c r="C165" s="37" t="s">
        <v>60</v>
      </c>
      <c r="D165" s="38"/>
      <c r="E165" s="38"/>
      <c r="F165" s="38"/>
      <c r="G165" s="68">
        <f t="shared" si="38"/>
        <v>0</v>
      </c>
      <c r="H165" s="38"/>
      <c r="I165" s="38"/>
      <c r="J165" s="38"/>
      <c r="K165" s="68">
        <f t="shared" si="39"/>
        <v>0</v>
      </c>
      <c r="L165" s="38"/>
      <c r="M165" s="38"/>
      <c r="N165" s="38"/>
      <c r="O165" s="68">
        <f t="shared" si="40"/>
        <v>0</v>
      </c>
      <c r="P165" s="38"/>
      <c r="Q165" s="38"/>
      <c r="R165" s="38"/>
      <c r="S165" s="68">
        <f t="shared" si="41"/>
        <v>0</v>
      </c>
      <c r="T165" s="49">
        <v>0</v>
      </c>
    </row>
    <row r="166" spans="1:20" ht="18.75" thickBot="1" x14ac:dyDescent="0.3">
      <c r="A166" s="293"/>
      <c r="B166" s="315"/>
      <c r="C166" s="37" t="s">
        <v>61</v>
      </c>
      <c r="D166" s="38"/>
      <c r="E166" s="38"/>
      <c r="F166" s="38"/>
      <c r="G166" s="68">
        <f t="shared" si="38"/>
        <v>0</v>
      </c>
      <c r="H166" s="38"/>
      <c r="I166" s="38"/>
      <c r="J166" s="38"/>
      <c r="K166" s="68">
        <f t="shared" si="39"/>
        <v>0</v>
      </c>
      <c r="L166" s="38"/>
      <c r="M166" s="38"/>
      <c r="N166" s="38"/>
      <c r="O166" s="68">
        <f t="shared" si="40"/>
        <v>0</v>
      </c>
      <c r="P166" s="38"/>
      <c r="Q166" s="38"/>
      <c r="R166" s="38"/>
      <c r="S166" s="68">
        <f t="shared" si="41"/>
        <v>0</v>
      </c>
      <c r="T166" s="49">
        <v>0</v>
      </c>
    </row>
    <row r="167" spans="1:20" ht="18.75" thickBot="1" x14ac:dyDescent="0.3">
      <c r="A167" s="293"/>
      <c r="B167" s="315"/>
      <c r="C167" s="37" t="s">
        <v>62</v>
      </c>
      <c r="D167" s="44">
        <v>1</v>
      </c>
      <c r="E167" s="38"/>
      <c r="F167" s="39">
        <v>2</v>
      </c>
      <c r="G167" s="68">
        <f t="shared" si="38"/>
        <v>3</v>
      </c>
      <c r="H167" s="39">
        <v>1</v>
      </c>
      <c r="I167" s="39">
        <v>2</v>
      </c>
      <c r="J167" s="39">
        <v>1</v>
      </c>
      <c r="K167" s="68">
        <f t="shared" si="39"/>
        <v>4</v>
      </c>
      <c r="L167" s="39">
        <v>4</v>
      </c>
      <c r="M167" s="39">
        <v>3</v>
      </c>
      <c r="N167" s="39">
        <v>6</v>
      </c>
      <c r="O167" s="68">
        <f t="shared" si="40"/>
        <v>13</v>
      </c>
      <c r="P167" s="50">
        <v>4</v>
      </c>
      <c r="Q167" s="39">
        <v>1</v>
      </c>
      <c r="R167" s="39">
        <v>3</v>
      </c>
      <c r="S167" s="68">
        <f t="shared" si="41"/>
        <v>8</v>
      </c>
      <c r="T167" s="49">
        <v>28</v>
      </c>
    </row>
    <row r="168" spans="1:20" ht="18.75" thickBot="1" x14ac:dyDescent="0.3">
      <c r="A168" s="293"/>
      <c r="B168" s="315"/>
      <c r="C168" s="37" t="s">
        <v>63</v>
      </c>
      <c r="D168" s="44">
        <v>5</v>
      </c>
      <c r="E168" s="38"/>
      <c r="F168" s="39">
        <v>2</v>
      </c>
      <c r="G168" s="68">
        <f t="shared" si="38"/>
        <v>7</v>
      </c>
      <c r="H168" s="38"/>
      <c r="I168" s="38"/>
      <c r="J168" s="38"/>
      <c r="K168" s="68">
        <f t="shared" si="39"/>
        <v>0</v>
      </c>
      <c r="L168" s="39">
        <v>2</v>
      </c>
      <c r="M168" s="38"/>
      <c r="N168" s="39">
        <v>2</v>
      </c>
      <c r="O168" s="68">
        <f t="shared" si="40"/>
        <v>4</v>
      </c>
      <c r="P168" s="50">
        <v>1</v>
      </c>
      <c r="Q168" s="39">
        <v>2</v>
      </c>
      <c r="R168" s="39">
        <v>1</v>
      </c>
      <c r="S168" s="68">
        <f t="shared" si="41"/>
        <v>4</v>
      </c>
      <c r="T168" s="49">
        <v>15</v>
      </c>
    </row>
    <row r="169" spans="1:20" ht="27.75" thickBot="1" x14ac:dyDescent="0.3">
      <c r="A169" s="293"/>
      <c r="B169" s="315"/>
      <c r="C169" s="37" t="s">
        <v>64</v>
      </c>
      <c r="D169" s="38"/>
      <c r="E169" s="38"/>
      <c r="F169" s="38"/>
      <c r="G169" s="68">
        <f t="shared" si="38"/>
        <v>0</v>
      </c>
      <c r="H169" s="38"/>
      <c r="I169" s="38"/>
      <c r="J169" s="38"/>
      <c r="K169" s="68">
        <f t="shared" si="39"/>
        <v>0</v>
      </c>
      <c r="L169" s="38"/>
      <c r="M169" s="38"/>
      <c r="N169" s="38"/>
      <c r="O169" s="68">
        <f t="shared" si="40"/>
        <v>0</v>
      </c>
      <c r="P169" s="38"/>
      <c r="Q169" s="38"/>
      <c r="R169" s="38"/>
      <c r="S169" s="68">
        <f t="shared" si="41"/>
        <v>0</v>
      </c>
      <c r="T169" s="49">
        <v>0</v>
      </c>
    </row>
    <row r="170" spans="1:20" ht="15.75" thickBot="1" x14ac:dyDescent="0.3">
      <c r="A170" s="293"/>
      <c r="B170" s="315"/>
      <c r="C170" s="42" t="s">
        <v>65</v>
      </c>
      <c r="D170" s="38"/>
      <c r="E170" s="38"/>
      <c r="F170" s="38"/>
      <c r="G170" s="68">
        <f t="shared" si="38"/>
        <v>0</v>
      </c>
      <c r="H170" s="38"/>
      <c r="I170" s="38"/>
      <c r="J170" s="38"/>
      <c r="K170" s="68">
        <f t="shared" si="39"/>
        <v>0</v>
      </c>
      <c r="L170" s="38"/>
      <c r="M170" s="38"/>
      <c r="N170" s="38"/>
      <c r="O170" s="68">
        <f t="shared" si="40"/>
        <v>0</v>
      </c>
      <c r="P170" s="38"/>
      <c r="Q170" s="38"/>
      <c r="R170" s="38"/>
      <c r="S170" s="68">
        <f t="shared" si="41"/>
        <v>0</v>
      </c>
      <c r="T170" s="49">
        <v>0</v>
      </c>
    </row>
    <row r="171" spans="1:20" ht="15.75" thickBot="1" x14ac:dyDescent="0.3">
      <c r="A171" s="293"/>
      <c r="B171" s="315"/>
      <c r="C171" s="42" t="s">
        <v>66</v>
      </c>
      <c r="D171" s="38"/>
      <c r="E171" s="38"/>
      <c r="F171" s="38"/>
      <c r="G171" s="68">
        <f t="shared" si="38"/>
        <v>0</v>
      </c>
      <c r="H171" s="38"/>
      <c r="I171" s="38"/>
      <c r="J171" s="38"/>
      <c r="K171" s="68">
        <f t="shared" si="39"/>
        <v>0</v>
      </c>
      <c r="L171" s="38"/>
      <c r="M171" s="38"/>
      <c r="N171" s="39">
        <v>2</v>
      </c>
      <c r="O171" s="68">
        <f t="shared" si="40"/>
        <v>2</v>
      </c>
      <c r="P171" s="50">
        <v>1</v>
      </c>
      <c r="Q171" s="38"/>
      <c r="R171" s="38"/>
      <c r="S171" s="68">
        <f t="shared" si="41"/>
        <v>1</v>
      </c>
      <c r="T171" s="49">
        <v>3</v>
      </c>
    </row>
    <row r="172" spans="1:20" ht="18.75" thickBot="1" x14ac:dyDescent="0.3">
      <c r="A172" s="306"/>
      <c r="B172" s="316"/>
      <c r="C172" s="42" t="s">
        <v>67</v>
      </c>
      <c r="D172" s="38"/>
      <c r="E172" s="38"/>
      <c r="F172" s="38"/>
      <c r="G172" s="68">
        <f t="shared" si="38"/>
        <v>0</v>
      </c>
      <c r="H172" s="38"/>
      <c r="I172" s="38"/>
      <c r="J172" s="38"/>
      <c r="K172" s="68">
        <f t="shared" si="39"/>
        <v>0</v>
      </c>
      <c r="L172" s="38"/>
      <c r="M172" s="38"/>
      <c r="N172" s="39">
        <v>1</v>
      </c>
      <c r="O172" s="68">
        <f t="shared" si="40"/>
        <v>1</v>
      </c>
      <c r="P172" s="38"/>
      <c r="Q172" s="38"/>
      <c r="R172" s="38"/>
      <c r="S172" s="68">
        <f t="shared" si="41"/>
        <v>0</v>
      </c>
      <c r="T172" s="49">
        <v>1</v>
      </c>
    </row>
    <row r="173" spans="1:20" ht="15" customHeight="1" thickBot="1" x14ac:dyDescent="0.3">
      <c r="A173" s="71"/>
      <c r="B173" s="72"/>
      <c r="C173" s="72"/>
      <c r="D173" s="72"/>
      <c r="E173" s="72"/>
      <c r="F173" s="72"/>
      <c r="G173" s="73">
        <f>SUM(G161:G172)</f>
        <v>11</v>
      </c>
      <c r="H173" s="73"/>
      <c r="I173" s="73"/>
      <c r="J173" s="73"/>
      <c r="K173" s="73">
        <f>SUM(K162:K172)</f>
        <v>4</v>
      </c>
      <c r="L173" s="73"/>
      <c r="M173" s="73"/>
      <c r="N173" s="73"/>
      <c r="O173" s="73">
        <f>SUM(O161:O172)</f>
        <v>21</v>
      </c>
      <c r="P173" s="73"/>
      <c r="Q173" s="73"/>
      <c r="R173" s="74"/>
      <c r="S173" s="73">
        <f>SUM(S161:S172)</f>
        <v>13</v>
      </c>
      <c r="T173" s="63">
        <f>SUM(T161:T172)</f>
        <v>51</v>
      </c>
    </row>
    <row r="174" spans="1:20" ht="15.75" thickBot="1" x14ac:dyDescent="0.3">
      <c r="A174" s="292">
        <v>14</v>
      </c>
      <c r="B174" s="314" t="s">
        <v>28</v>
      </c>
      <c r="C174" s="37" t="s">
        <v>56</v>
      </c>
      <c r="D174" s="44">
        <v>1</v>
      </c>
      <c r="E174" s="39">
        <v>1</v>
      </c>
      <c r="F174" s="38"/>
      <c r="G174" s="68">
        <f t="shared" si="38"/>
        <v>2</v>
      </c>
      <c r="H174" s="38"/>
      <c r="I174" s="38"/>
      <c r="J174" s="38"/>
      <c r="K174" s="68">
        <f t="shared" ref="K174:K185" si="42">H174+I174+J174</f>
        <v>0</v>
      </c>
      <c r="L174" s="39">
        <v>1</v>
      </c>
      <c r="M174" s="38"/>
      <c r="N174" s="38"/>
      <c r="O174" s="68">
        <f t="shared" ref="O174:O185" si="43">L174+M174+N174</f>
        <v>1</v>
      </c>
      <c r="P174" s="38"/>
      <c r="Q174" s="38"/>
      <c r="R174" s="38"/>
      <c r="S174" s="68">
        <f t="shared" ref="S174:S185" si="44">P174+Q174+R174</f>
        <v>0</v>
      </c>
      <c r="T174" s="49">
        <v>3</v>
      </c>
    </row>
    <row r="175" spans="1:20" ht="18.75" thickBot="1" x14ac:dyDescent="0.3">
      <c r="A175" s="293"/>
      <c r="B175" s="315"/>
      <c r="C175" s="37" t="s">
        <v>57</v>
      </c>
      <c r="D175" s="38"/>
      <c r="E175" s="38"/>
      <c r="F175" s="38"/>
      <c r="G175" s="68">
        <f t="shared" si="38"/>
        <v>0</v>
      </c>
      <c r="H175" s="38"/>
      <c r="I175" s="38"/>
      <c r="J175" s="38"/>
      <c r="K175" s="68">
        <f t="shared" si="42"/>
        <v>0</v>
      </c>
      <c r="L175" s="38"/>
      <c r="M175" s="38"/>
      <c r="N175" s="38"/>
      <c r="O175" s="68">
        <f t="shared" si="43"/>
        <v>0</v>
      </c>
      <c r="P175" s="38"/>
      <c r="Q175" s="38"/>
      <c r="R175" s="38"/>
      <c r="S175" s="68">
        <f t="shared" si="44"/>
        <v>0</v>
      </c>
      <c r="T175" s="49">
        <v>0</v>
      </c>
    </row>
    <row r="176" spans="1:20" ht="18.75" thickBot="1" x14ac:dyDescent="0.3">
      <c r="A176" s="293"/>
      <c r="B176" s="315"/>
      <c r="C176" s="37" t="s">
        <v>58</v>
      </c>
      <c r="D176" s="38"/>
      <c r="E176" s="38"/>
      <c r="F176" s="38"/>
      <c r="G176" s="68">
        <f t="shared" si="38"/>
        <v>0</v>
      </c>
      <c r="H176" s="38"/>
      <c r="I176" s="38"/>
      <c r="J176" s="38"/>
      <c r="K176" s="68">
        <f t="shared" si="42"/>
        <v>0</v>
      </c>
      <c r="L176" s="39">
        <v>1</v>
      </c>
      <c r="M176" s="39">
        <v>1</v>
      </c>
      <c r="N176" s="38"/>
      <c r="O176" s="68">
        <f t="shared" si="43"/>
        <v>2</v>
      </c>
      <c r="P176" s="38"/>
      <c r="Q176" s="38"/>
      <c r="R176" s="38"/>
      <c r="S176" s="68">
        <f t="shared" si="44"/>
        <v>0</v>
      </c>
      <c r="T176" s="49">
        <v>2</v>
      </c>
    </row>
    <row r="177" spans="1:20" ht="18.75" thickBot="1" x14ac:dyDescent="0.3">
      <c r="A177" s="293"/>
      <c r="B177" s="315"/>
      <c r="C177" s="37" t="s">
        <v>59</v>
      </c>
      <c r="D177" s="38"/>
      <c r="E177" s="38"/>
      <c r="F177" s="38"/>
      <c r="G177" s="68">
        <f t="shared" si="38"/>
        <v>0</v>
      </c>
      <c r="H177" s="38"/>
      <c r="I177" s="38"/>
      <c r="J177" s="38"/>
      <c r="K177" s="68">
        <f t="shared" si="42"/>
        <v>0</v>
      </c>
      <c r="L177" s="38"/>
      <c r="M177" s="38"/>
      <c r="N177" s="38"/>
      <c r="O177" s="68">
        <f t="shared" si="43"/>
        <v>0</v>
      </c>
      <c r="P177" s="38"/>
      <c r="Q177" s="38"/>
      <c r="R177" s="38"/>
      <c r="S177" s="68">
        <f t="shared" si="44"/>
        <v>0</v>
      </c>
      <c r="T177" s="49">
        <v>0</v>
      </c>
    </row>
    <row r="178" spans="1:20" ht="18.75" thickBot="1" x14ac:dyDescent="0.3">
      <c r="A178" s="293"/>
      <c r="B178" s="315"/>
      <c r="C178" s="37" t="s">
        <v>60</v>
      </c>
      <c r="D178" s="38"/>
      <c r="E178" s="38"/>
      <c r="F178" s="38"/>
      <c r="G178" s="68">
        <f t="shared" si="38"/>
        <v>0</v>
      </c>
      <c r="H178" s="38"/>
      <c r="I178" s="38"/>
      <c r="J178" s="38"/>
      <c r="K178" s="68">
        <f t="shared" si="42"/>
        <v>0</v>
      </c>
      <c r="L178" s="38"/>
      <c r="M178" s="38"/>
      <c r="N178" s="38"/>
      <c r="O178" s="68">
        <f t="shared" si="43"/>
        <v>0</v>
      </c>
      <c r="P178" s="38"/>
      <c r="Q178" s="38"/>
      <c r="R178" s="38"/>
      <c r="S178" s="68">
        <f t="shared" si="44"/>
        <v>0</v>
      </c>
      <c r="T178" s="49">
        <v>0</v>
      </c>
    </row>
    <row r="179" spans="1:20" ht="18.75" thickBot="1" x14ac:dyDescent="0.3">
      <c r="A179" s="293"/>
      <c r="B179" s="315"/>
      <c r="C179" s="37" t="s">
        <v>61</v>
      </c>
      <c r="D179" s="38"/>
      <c r="E179" s="38"/>
      <c r="F179" s="38"/>
      <c r="G179" s="68">
        <f t="shared" si="38"/>
        <v>0</v>
      </c>
      <c r="H179" s="38"/>
      <c r="I179" s="38"/>
      <c r="J179" s="38"/>
      <c r="K179" s="68">
        <f t="shared" si="42"/>
        <v>0</v>
      </c>
      <c r="L179" s="38"/>
      <c r="M179" s="38"/>
      <c r="N179" s="38"/>
      <c r="O179" s="68">
        <f t="shared" si="43"/>
        <v>0</v>
      </c>
      <c r="P179" s="38"/>
      <c r="Q179" s="38"/>
      <c r="R179" s="38"/>
      <c r="S179" s="68">
        <f t="shared" si="44"/>
        <v>0</v>
      </c>
      <c r="T179" s="49">
        <v>0</v>
      </c>
    </row>
    <row r="180" spans="1:20" ht="18.75" thickBot="1" x14ac:dyDescent="0.3">
      <c r="A180" s="293"/>
      <c r="B180" s="315"/>
      <c r="C180" s="37" t="s">
        <v>62</v>
      </c>
      <c r="D180" s="44">
        <v>2</v>
      </c>
      <c r="E180" s="38"/>
      <c r="F180" s="38"/>
      <c r="G180" s="68">
        <f t="shared" si="38"/>
        <v>2</v>
      </c>
      <c r="H180" s="39">
        <v>3</v>
      </c>
      <c r="I180" s="39">
        <v>1</v>
      </c>
      <c r="J180" s="38"/>
      <c r="K180" s="68">
        <f t="shared" si="42"/>
        <v>4</v>
      </c>
      <c r="L180" s="39">
        <v>2</v>
      </c>
      <c r="M180" s="39">
        <v>1</v>
      </c>
      <c r="N180" s="39">
        <v>3</v>
      </c>
      <c r="O180" s="68">
        <f t="shared" si="43"/>
        <v>6</v>
      </c>
      <c r="P180" s="50">
        <v>2</v>
      </c>
      <c r="Q180" s="39">
        <v>1</v>
      </c>
      <c r="R180" s="39">
        <v>1</v>
      </c>
      <c r="S180" s="68">
        <f t="shared" si="44"/>
        <v>4</v>
      </c>
      <c r="T180" s="49">
        <v>16</v>
      </c>
    </row>
    <row r="181" spans="1:20" ht="18.75" thickBot="1" x14ac:dyDescent="0.3">
      <c r="A181" s="293"/>
      <c r="B181" s="315"/>
      <c r="C181" s="37" t="s">
        <v>63</v>
      </c>
      <c r="D181" s="44">
        <v>1</v>
      </c>
      <c r="E181" s="39">
        <v>1</v>
      </c>
      <c r="F181" s="39">
        <v>1</v>
      </c>
      <c r="G181" s="68">
        <f t="shared" si="38"/>
        <v>3</v>
      </c>
      <c r="H181" s="38"/>
      <c r="I181" s="38"/>
      <c r="J181" s="39">
        <v>1</v>
      </c>
      <c r="K181" s="68">
        <f t="shared" si="42"/>
        <v>1</v>
      </c>
      <c r="L181" s="39">
        <v>1</v>
      </c>
      <c r="M181" s="39">
        <v>1</v>
      </c>
      <c r="N181" s="39">
        <v>3</v>
      </c>
      <c r="O181" s="68">
        <f t="shared" si="43"/>
        <v>5</v>
      </c>
      <c r="P181" s="50">
        <v>2</v>
      </c>
      <c r="Q181" s="38"/>
      <c r="R181" s="38"/>
      <c r="S181" s="68">
        <f t="shared" si="44"/>
        <v>2</v>
      </c>
      <c r="T181" s="49">
        <v>11</v>
      </c>
    </row>
    <row r="182" spans="1:20" ht="27.75" thickBot="1" x14ac:dyDescent="0.3">
      <c r="A182" s="293"/>
      <c r="B182" s="315"/>
      <c r="C182" s="37" t="s">
        <v>64</v>
      </c>
      <c r="D182" s="38"/>
      <c r="E182" s="38"/>
      <c r="F182" s="38"/>
      <c r="G182" s="68">
        <f t="shared" si="38"/>
        <v>0</v>
      </c>
      <c r="H182" s="38"/>
      <c r="I182" s="38"/>
      <c r="J182" s="38"/>
      <c r="K182" s="68">
        <f t="shared" si="42"/>
        <v>0</v>
      </c>
      <c r="L182" s="38"/>
      <c r="M182" s="38"/>
      <c r="N182" s="38"/>
      <c r="O182" s="68">
        <f t="shared" si="43"/>
        <v>0</v>
      </c>
      <c r="P182" s="38"/>
      <c r="Q182" s="38"/>
      <c r="R182" s="38"/>
      <c r="S182" s="68">
        <f t="shared" si="44"/>
        <v>0</v>
      </c>
      <c r="T182" s="49">
        <v>0</v>
      </c>
    </row>
    <row r="183" spans="1:20" ht="15.75" thickBot="1" x14ac:dyDescent="0.3">
      <c r="A183" s="293"/>
      <c r="B183" s="315"/>
      <c r="C183" s="42" t="s">
        <v>65</v>
      </c>
      <c r="D183" s="38"/>
      <c r="E183" s="38"/>
      <c r="F183" s="38"/>
      <c r="G183" s="68">
        <f t="shared" si="38"/>
        <v>0</v>
      </c>
      <c r="H183" s="38"/>
      <c r="I183" s="38"/>
      <c r="J183" s="38"/>
      <c r="K183" s="68">
        <f t="shared" si="42"/>
        <v>0</v>
      </c>
      <c r="L183" s="38"/>
      <c r="M183" s="38"/>
      <c r="N183" s="38"/>
      <c r="O183" s="68">
        <f t="shared" si="43"/>
        <v>0</v>
      </c>
      <c r="P183" s="38"/>
      <c r="Q183" s="38"/>
      <c r="R183" s="38"/>
      <c r="S183" s="68">
        <f t="shared" si="44"/>
        <v>0</v>
      </c>
      <c r="T183" s="49">
        <v>0</v>
      </c>
    </row>
    <row r="184" spans="1:20" ht="15.75" thickBot="1" x14ac:dyDescent="0.3">
      <c r="A184" s="304"/>
      <c r="B184" s="304"/>
      <c r="C184" s="51" t="s">
        <v>66</v>
      </c>
      <c r="D184" s="47"/>
      <c r="E184" s="47"/>
      <c r="F184" s="47"/>
      <c r="G184" s="68">
        <f t="shared" si="38"/>
        <v>0</v>
      </c>
      <c r="H184" s="47"/>
      <c r="I184" s="47"/>
      <c r="J184" s="47"/>
      <c r="K184" s="68">
        <f t="shared" si="42"/>
        <v>0</v>
      </c>
      <c r="L184" s="47"/>
      <c r="M184" s="47"/>
      <c r="N184" s="47"/>
      <c r="O184" s="68">
        <f t="shared" si="43"/>
        <v>0</v>
      </c>
      <c r="P184" s="47"/>
      <c r="Q184" s="47"/>
      <c r="R184" s="47"/>
      <c r="S184" s="68">
        <f t="shared" si="44"/>
        <v>0</v>
      </c>
      <c r="T184" s="48">
        <v>0</v>
      </c>
    </row>
    <row r="185" spans="1:20" ht="18.75" thickBot="1" x14ac:dyDescent="0.3">
      <c r="A185" s="305"/>
      <c r="B185" s="305"/>
      <c r="C185" s="42" t="s">
        <v>67</v>
      </c>
      <c r="D185" s="38"/>
      <c r="E185" s="38"/>
      <c r="F185" s="38"/>
      <c r="G185" s="68">
        <f t="shared" si="38"/>
        <v>0</v>
      </c>
      <c r="H185" s="38"/>
      <c r="I185" s="38"/>
      <c r="J185" s="38"/>
      <c r="K185" s="68">
        <f t="shared" si="42"/>
        <v>0</v>
      </c>
      <c r="L185" s="38"/>
      <c r="M185" s="38"/>
      <c r="N185" s="38"/>
      <c r="O185" s="68">
        <f t="shared" si="43"/>
        <v>0</v>
      </c>
      <c r="P185" s="39">
        <v>4</v>
      </c>
      <c r="Q185" s="38"/>
      <c r="R185" s="38"/>
      <c r="S185" s="68">
        <f t="shared" si="44"/>
        <v>4</v>
      </c>
      <c r="T185" s="49">
        <v>4</v>
      </c>
    </row>
    <row r="186" spans="1:20" ht="15" customHeight="1" thickBot="1" x14ac:dyDescent="0.3">
      <c r="A186" s="71"/>
      <c r="B186" s="72"/>
      <c r="C186" s="72"/>
      <c r="D186" s="72"/>
      <c r="E186" s="72"/>
      <c r="F186" s="72"/>
      <c r="G186" s="73">
        <f>SUM(G174:G185)</f>
        <v>7</v>
      </c>
      <c r="H186" s="73"/>
      <c r="I186" s="73"/>
      <c r="J186" s="73"/>
      <c r="K186" s="73">
        <f>SUM(K175:K185)</f>
        <v>5</v>
      </c>
      <c r="L186" s="73"/>
      <c r="M186" s="73"/>
      <c r="N186" s="73"/>
      <c r="O186" s="73">
        <f>SUM(O174:O185)</f>
        <v>14</v>
      </c>
      <c r="P186" s="73"/>
      <c r="Q186" s="73"/>
      <c r="R186" s="74"/>
      <c r="S186" s="73">
        <f>SUM(S174:S185)</f>
        <v>10</v>
      </c>
      <c r="T186" s="63">
        <f>SUM(T174:T185)</f>
        <v>36</v>
      </c>
    </row>
    <row r="187" spans="1:20" ht="15.75" thickBot="1" x14ac:dyDescent="0.3">
      <c r="A187" s="292">
        <v>15</v>
      </c>
      <c r="B187" s="307" t="s">
        <v>30</v>
      </c>
      <c r="C187" s="37" t="s">
        <v>56</v>
      </c>
      <c r="D187" s="38"/>
      <c r="E187" s="38"/>
      <c r="F187" s="39">
        <v>2</v>
      </c>
      <c r="G187" s="68">
        <f t="shared" si="38"/>
        <v>2</v>
      </c>
      <c r="H187" s="38"/>
      <c r="I187" s="38"/>
      <c r="J187" s="38"/>
      <c r="K187" s="68">
        <f t="shared" ref="K187:K198" si="45">H187+I187+J187</f>
        <v>0</v>
      </c>
      <c r="L187" s="39">
        <v>3</v>
      </c>
      <c r="M187" s="38"/>
      <c r="N187" s="38"/>
      <c r="O187" s="68">
        <f t="shared" ref="O187:O198" si="46">L187+M187+N187</f>
        <v>3</v>
      </c>
      <c r="P187" s="38"/>
      <c r="Q187" s="38"/>
      <c r="R187" s="38"/>
      <c r="S187" s="68">
        <f t="shared" ref="S187:S198" si="47">P187+Q187+R187</f>
        <v>0</v>
      </c>
      <c r="T187" s="49">
        <v>5</v>
      </c>
    </row>
    <row r="188" spans="1:20" ht="18.75" thickBot="1" x14ac:dyDescent="0.3">
      <c r="A188" s="293"/>
      <c r="B188" s="308"/>
      <c r="C188" s="37" t="s">
        <v>57</v>
      </c>
      <c r="D188" s="38"/>
      <c r="E188" s="38"/>
      <c r="F188" s="38"/>
      <c r="G188" s="68">
        <f t="shared" si="38"/>
        <v>0</v>
      </c>
      <c r="H188" s="38"/>
      <c r="I188" s="38"/>
      <c r="J188" s="38"/>
      <c r="K188" s="68">
        <f t="shared" si="45"/>
        <v>0</v>
      </c>
      <c r="L188" s="38"/>
      <c r="M188" s="38"/>
      <c r="N188" s="38"/>
      <c r="O188" s="68">
        <f t="shared" si="46"/>
        <v>0</v>
      </c>
      <c r="P188" s="38"/>
      <c r="Q188" s="38"/>
      <c r="R188" s="38"/>
      <c r="S188" s="68">
        <f t="shared" si="47"/>
        <v>0</v>
      </c>
      <c r="T188" s="49">
        <v>0</v>
      </c>
    </row>
    <row r="189" spans="1:20" ht="18.75" thickBot="1" x14ac:dyDescent="0.3">
      <c r="A189" s="293"/>
      <c r="B189" s="308"/>
      <c r="C189" s="37" t="s">
        <v>58</v>
      </c>
      <c r="D189" s="38"/>
      <c r="E189" s="38"/>
      <c r="F189" s="39">
        <v>3</v>
      </c>
      <c r="G189" s="68">
        <f t="shared" si="38"/>
        <v>3</v>
      </c>
      <c r="H189" s="39">
        <v>1</v>
      </c>
      <c r="I189" s="39">
        <v>1</v>
      </c>
      <c r="J189" s="38"/>
      <c r="K189" s="68">
        <f t="shared" si="45"/>
        <v>2</v>
      </c>
      <c r="L189" s="39">
        <v>1</v>
      </c>
      <c r="M189" s="38"/>
      <c r="N189" s="38"/>
      <c r="O189" s="68">
        <f t="shared" si="46"/>
        <v>1</v>
      </c>
      <c r="P189" s="38"/>
      <c r="Q189" s="38"/>
      <c r="R189" s="38"/>
      <c r="S189" s="68">
        <f t="shared" si="47"/>
        <v>0</v>
      </c>
      <c r="T189" s="49">
        <v>6</v>
      </c>
    </row>
    <row r="190" spans="1:20" ht="18.75" thickBot="1" x14ac:dyDescent="0.3">
      <c r="A190" s="293"/>
      <c r="B190" s="308"/>
      <c r="C190" s="37" t="s">
        <v>59</v>
      </c>
      <c r="D190" s="38"/>
      <c r="E190" s="38"/>
      <c r="F190" s="38"/>
      <c r="G190" s="68">
        <f t="shared" si="38"/>
        <v>0</v>
      </c>
      <c r="H190" s="38"/>
      <c r="I190" s="38"/>
      <c r="J190" s="38"/>
      <c r="K190" s="68">
        <f t="shared" si="45"/>
        <v>0</v>
      </c>
      <c r="L190" s="38"/>
      <c r="M190" s="38"/>
      <c r="N190" s="38"/>
      <c r="O190" s="68">
        <f t="shared" si="46"/>
        <v>0</v>
      </c>
      <c r="P190" s="38"/>
      <c r="Q190" s="38"/>
      <c r="R190" s="38"/>
      <c r="S190" s="68">
        <f t="shared" si="47"/>
        <v>0</v>
      </c>
      <c r="T190" s="49">
        <v>0</v>
      </c>
    </row>
    <row r="191" spans="1:20" ht="18.75" thickBot="1" x14ac:dyDescent="0.3">
      <c r="A191" s="293"/>
      <c r="B191" s="308"/>
      <c r="C191" s="37" t="s">
        <v>60</v>
      </c>
      <c r="D191" s="38"/>
      <c r="E191" s="38"/>
      <c r="F191" s="38"/>
      <c r="G191" s="68">
        <f t="shared" si="38"/>
        <v>0</v>
      </c>
      <c r="H191" s="38"/>
      <c r="I191" s="38"/>
      <c r="J191" s="38"/>
      <c r="K191" s="68">
        <f t="shared" si="45"/>
        <v>0</v>
      </c>
      <c r="L191" s="38"/>
      <c r="M191" s="38"/>
      <c r="N191" s="38"/>
      <c r="O191" s="68">
        <f t="shared" si="46"/>
        <v>0</v>
      </c>
      <c r="P191" s="38"/>
      <c r="Q191" s="38"/>
      <c r="R191" s="38"/>
      <c r="S191" s="68">
        <f t="shared" si="47"/>
        <v>0</v>
      </c>
      <c r="T191" s="49">
        <v>0</v>
      </c>
    </row>
    <row r="192" spans="1:20" ht="18.75" thickBot="1" x14ac:dyDescent="0.3">
      <c r="A192" s="293"/>
      <c r="B192" s="308"/>
      <c r="C192" s="37" t="s">
        <v>61</v>
      </c>
      <c r="D192" s="38"/>
      <c r="E192" s="38"/>
      <c r="F192" s="38"/>
      <c r="G192" s="68">
        <f t="shared" si="38"/>
        <v>0</v>
      </c>
      <c r="H192" s="38"/>
      <c r="I192" s="38"/>
      <c r="J192" s="38"/>
      <c r="K192" s="68">
        <f t="shared" si="45"/>
        <v>0</v>
      </c>
      <c r="L192" s="38"/>
      <c r="M192" s="38"/>
      <c r="N192" s="38"/>
      <c r="O192" s="68">
        <f t="shared" si="46"/>
        <v>0</v>
      </c>
      <c r="P192" s="38"/>
      <c r="Q192" s="38"/>
      <c r="R192" s="38"/>
      <c r="S192" s="68">
        <f t="shared" si="47"/>
        <v>0</v>
      </c>
      <c r="T192" s="49">
        <v>0</v>
      </c>
    </row>
    <row r="193" spans="1:20" ht="18.75" thickBot="1" x14ac:dyDescent="0.3">
      <c r="A193" s="293"/>
      <c r="B193" s="308"/>
      <c r="C193" s="37" t="s">
        <v>62</v>
      </c>
      <c r="D193" s="38"/>
      <c r="E193" s="39">
        <v>1</v>
      </c>
      <c r="F193" s="39">
        <v>1</v>
      </c>
      <c r="G193" s="68">
        <f t="shared" si="38"/>
        <v>2</v>
      </c>
      <c r="H193" s="38"/>
      <c r="I193" s="39">
        <v>2</v>
      </c>
      <c r="J193" s="39">
        <v>1</v>
      </c>
      <c r="K193" s="68">
        <f t="shared" si="45"/>
        <v>3</v>
      </c>
      <c r="L193" s="39">
        <v>4</v>
      </c>
      <c r="M193" s="38"/>
      <c r="N193" s="44">
        <v>2</v>
      </c>
      <c r="O193" s="68">
        <f t="shared" si="46"/>
        <v>6</v>
      </c>
      <c r="P193" s="39">
        <v>3</v>
      </c>
      <c r="Q193" s="39">
        <v>1</v>
      </c>
      <c r="R193" s="38"/>
      <c r="S193" s="68">
        <f t="shared" si="47"/>
        <v>4</v>
      </c>
      <c r="T193" s="49">
        <v>15</v>
      </c>
    </row>
    <row r="194" spans="1:20" ht="18.75" thickBot="1" x14ac:dyDescent="0.3">
      <c r="A194" s="293"/>
      <c r="B194" s="308"/>
      <c r="C194" s="37" t="s">
        <v>63</v>
      </c>
      <c r="D194" s="44">
        <v>1</v>
      </c>
      <c r="E194" s="39">
        <v>2</v>
      </c>
      <c r="F194" s="38"/>
      <c r="G194" s="68">
        <f t="shared" si="38"/>
        <v>3</v>
      </c>
      <c r="H194" s="39">
        <v>1</v>
      </c>
      <c r="I194" s="38"/>
      <c r="J194" s="38"/>
      <c r="K194" s="68">
        <f t="shared" si="45"/>
        <v>1</v>
      </c>
      <c r="L194" s="39">
        <v>4</v>
      </c>
      <c r="M194" s="38"/>
      <c r="N194" s="44">
        <v>1</v>
      </c>
      <c r="O194" s="68">
        <f t="shared" si="46"/>
        <v>5</v>
      </c>
      <c r="P194" s="39">
        <v>1</v>
      </c>
      <c r="Q194" s="38"/>
      <c r="R194" s="38"/>
      <c r="S194" s="68">
        <f t="shared" si="47"/>
        <v>1</v>
      </c>
      <c r="T194" s="49">
        <v>10</v>
      </c>
    </row>
    <row r="195" spans="1:20" ht="27.75" thickBot="1" x14ac:dyDescent="0.3">
      <c r="A195" s="293"/>
      <c r="B195" s="308"/>
      <c r="C195" s="37" t="s">
        <v>64</v>
      </c>
      <c r="D195" s="38"/>
      <c r="E195" s="38"/>
      <c r="F195" s="38"/>
      <c r="G195" s="68">
        <f t="shared" si="38"/>
        <v>0</v>
      </c>
      <c r="H195" s="38"/>
      <c r="I195" s="38"/>
      <c r="J195" s="38"/>
      <c r="K195" s="68">
        <f t="shared" si="45"/>
        <v>0</v>
      </c>
      <c r="L195" s="38"/>
      <c r="M195" s="38"/>
      <c r="N195" s="38"/>
      <c r="O195" s="68">
        <f t="shared" si="46"/>
        <v>0</v>
      </c>
      <c r="P195" s="38"/>
      <c r="Q195" s="38"/>
      <c r="R195" s="38"/>
      <c r="S195" s="68">
        <f t="shared" si="47"/>
        <v>0</v>
      </c>
      <c r="T195" s="49">
        <v>0</v>
      </c>
    </row>
    <row r="196" spans="1:20" ht="15.75" thickBot="1" x14ac:dyDescent="0.3">
      <c r="A196" s="293"/>
      <c r="B196" s="308"/>
      <c r="C196" s="42" t="s">
        <v>65</v>
      </c>
      <c r="D196" s="38"/>
      <c r="E196" s="38"/>
      <c r="F196" s="38"/>
      <c r="G196" s="68">
        <f t="shared" si="38"/>
        <v>0</v>
      </c>
      <c r="H196" s="38"/>
      <c r="I196" s="38"/>
      <c r="J196" s="38"/>
      <c r="K196" s="68">
        <f t="shared" si="45"/>
        <v>0</v>
      </c>
      <c r="L196" s="39">
        <v>1</v>
      </c>
      <c r="M196" s="38"/>
      <c r="N196" s="38"/>
      <c r="O196" s="68">
        <f t="shared" si="46"/>
        <v>1</v>
      </c>
      <c r="P196" s="38"/>
      <c r="Q196" s="39">
        <v>1</v>
      </c>
      <c r="R196" s="38"/>
      <c r="S196" s="68">
        <f t="shared" si="47"/>
        <v>1</v>
      </c>
      <c r="T196" s="49">
        <v>2</v>
      </c>
    </row>
    <row r="197" spans="1:20" ht="15.75" thickBot="1" x14ac:dyDescent="0.3">
      <c r="A197" s="293"/>
      <c r="B197" s="308"/>
      <c r="C197" s="42" t="s">
        <v>66</v>
      </c>
      <c r="D197" s="38"/>
      <c r="E197" s="38"/>
      <c r="F197" s="38"/>
      <c r="G197" s="68">
        <f t="shared" si="38"/>
        <v>0</v>
      </c>
      <c r="H197" s="38"/>
      <c r="I197" s="38"/>
      <c r="J197" s="38"/>
      <c r="K197" s="68">
        <f t="shared" si="45"/>
        <v>0</v>
      </c>
      <c r="L197" s="38"/>
      <c r="M197" s="38"/>
      <c r="N197" s="44">
        <v>3</v>
      </c>
      <c r="O197" s="68">
        <f t="shared" si="46"/>
        <v>3</v>
      </c>
      <c r="P197" s="38"/>
      <c r="Q197" s="38"/>
      <c r="R197" s="38"/>
      <c r="S197" s="68">
        <f t="shared" si="47"/>
        <v>0</v>
      </c>
      <c r="T197" s="49">
        <v>3</v>
      </c>
    </row>
    <row r="198" spans="1:20" ht="18.75" thickBot="1" x14ac:dyDescent="0.3">
      <c r="A198" s="306"/>
      <c r="B198" s="309"/>
      <c r="C198" s="42" t="s">
        <v>67</v>
      </c>
      <c r="D198" s="38"/>
      <c r="E198" s="38"/>
      <c r="F198" s="38"/>
      <c r="G198" s="68">
        <f t="shared" si="38"/>
        <v>0</v>
      </c>
      <c r="H198" s="38"/>
      <c r="I198" s="38"/>
      <c r="J198" s="38"/>
      <c r="K198" s="68">
        <f t="shared" si="45"/>
        <v>0</v>
      </c>
      <c r="L198" s="38"/>
      <c r="M198" s="38"/>
      <c r="N198" s="38"/>
      <c r="O198" s="68">
        <f t="shared" si="46"/>
        <v>0</v>
      </c>
      <c r="P198" s="38"/>
      <c r="Q198" s="38"/>
      <c r="R198" s="38"/>
      <c r="S198" s="68">
        <f t="shared" si="47"/>
        <v>0</v>
      </c>
      <c r="T198" s="49">
        <v>0</v>
      </c>
    </row>
    <row r="199" spans="1:20" ht="15" customHeight="1" thickBot="1" x14ac:dyDescent="0.3">
      <c r="A199" s="71"/>
      <c r="B199" s="72"/>
      <c r="C199" s="72"/>
      <c r="D199" s="72"/>
      <c r="E199" s="72"/>
      <c r="F199" s="72"/>
      <c r="G199" s="73">
        <f>SUM(G187:G198)</f>
        <v>10</v>
      </c>
      <c r="H199" s="73"/>
      <c r="I199" s="73"/>
      <c r="J199" s="73"/>
      <c r="K199" s="73">
        <f>SUM(K188:K198)</f>
        <v>6</v>
      </c>
      <c r="L199" s="73"/>
      <c r="M199" s="73"/>
      <c r="N199" s="73"/>
      <c r="O199" s="73">
        <f>SUM(O187:O198)</f>
        <v>19</v>
      </c>
      <c r="P199" s="73"/>
      <c r="Q199" s="73"/>
      <c r="R199" s="74"/>
      <c r="S199" s="73">
        <f>SUM(S187:S198)</f>
        <v>6</v>
      </c>
      <c r="T199" s="63">
        <f>SUM(T187:T198)</f>
        <v>41</v>
      </c>
    </row>
    <row r="200" spans="1:20" ht="15.75" thickBot="1" x14ac:dyDescent="0.3">
      <c r="A200" s="292">
        <v>16</v>
      </c>
      <c r="B200" s="295" t="s">
        <v>33</v>
      </c>
      <c r="C200" s="37" t="s">
        <v>56</v>
      </c>
      <c r="D200" s="38"/>
      <c r="E200" s="39">
        <v>3</v>
      </c>
      <c r="F200" s="38"/>
      <c r="G200" s="68">
        <f t="shared" si="38"/>
        <v>3</v>
      </c>
      <c r="H200" s="38"/>
      <c r="I200" s="38"/>
      <c r="J200" s="38"/>
      <c r="K200" s="68">
        <f t="shared" ref="K200:K211" si="48">H200+I200+J200</f>
        <v>0</v>
      </c>
      <c r="L200" s="38"/>
      <c r="M200" s="38"/>
      <c r="N200" s="38"/>
      <c r="O200" s="68">
        <f t="shared" ref="O200:O211" si="49">L200+M200+N200</f>
        <v>0</v>
      </c>
      <c r="P200" s="38"/>
      <c r="Q200" s="38"/>
      <c r="R200" s="38"/>
      <c r="S200" s="68">
        <f t="shared" ref="S200:S211" si="50">P200+Q200+R200</f>
        <v>0</v>
      </c>
      <c r="T200" s="49">
        <v>3</v>
      </c>
    </row>
    <row r="201" spans="1:20" ht="18.75" thickBot="1" x14ac:dyDescent="0.3">
      <c r="A201" s="293"/>
      <c r="B201" s="296"/>
      <c r="C201" s="37" t="s">
        <v>57</v>
      </c>
      <c r="D201" s="38"/>
      <c r="E201" s="38"/>
      <c r="F201" s="38"/>
      <c r="G201" s="68">
        <f t="shared" si="38"/>
        <v>0</v>
      </c>
      <c r="H201" s="38"/>
      <c r="I201" s="38"/>
      <c r="J201" s="38"/>
      <c r="K201" s="68">
        <f t="shared" si="48"/>
        <v>0</v>
      </c>
      <c r="L201" s="38"/>
      <c r="M201" s="38"/>
      <c r="N201" s="38"/>
      <c r="O201" s="68">
        <f t="shared" si="49"/>
        <v>0</v>
      </c>
      <c r="P201" s="38"/>
      <c r="Q201" s="38"/>
      <c r="R201" s="38"/>
      <c r="S201" s="68">
        <f t="shared" si="50"/>
        <v>0</v>
      </c>
      <c r="T201" s="49">
        <v>0</v>
      </c>
    </row>
    <row r="202" spans="1:20" ht="18.75" thickBot="1" x14ac:dyDescent="0.3">
      <c r="A202" s="293"/>
      <c r="B202" s="296"/>
      <c r="C202" s="37" t="s">
        <v>58</v>
      </c>
      <c r="D202" s="38"/>
      <c r="E202" s="39">
        <v>1</v>
      </c>
      <c r="F202" s="39">
        <v>1</v>
      </c>
      <c r="G202" s="68">
        <f t="shared" si="38"/>
        <v>2</v>
      </c>
      <c r="H202" s="39">
        <v>3</v>
      </c>
      <c r="I202" s="39">
        <v>1</v>
      </c>
      <c r="J202" s="39">
        <v>1</v>
      </c>
      <c r="K202" s="68">
        <f t="shared" si="48"/>
        <v>5</v>
      </c>
      <c r="L202" s="38"/>
      <c r="M202" s="39">
        <v>1</v>
      </c>
      <c r="N202" s="38"/>
      <c r="O202" s="68">
        <f t="shared" si="49"/>
        <v>1</v>
      </c>
      <c r="P202" s="38"/>
      <c r="Q202" s="38"/>
      <c r="R202" s="38"/>
      <c r="S202" s="68">
        <f t="shared" si="50"/>
        <v>0</v>
      </c>
      <c r="T202" s="49">
        <v>8</v>
      </c>
    </row>
    <row r="203" spans="1:20" ht="18.75" thickBot="1" x14ac:dyDescent="0.3">
      <c r="A203" s="293"/>
      <c r="B203" s="296"/>
      <c r="C203" s="37" t="s">
        <v>59</v>
      </c>
      <c r="D203" s="38"/>
      <c r="E203" s="38"/>
      <c r="F203" s="38"/>
      <c r="G203" s="68">
        <f t="shared" si="38"/>
        <v>0</v>
      </c>
      <c r="H203" s="38"/>
      <c r="I203" s="38"/>
      <c r="J203" s="38"/>
      <c r="K203" s="68">
        <f t="shared" si="48"/>
        <v>0</v>
      </c>
      <c r="L203" s="38"/>
      <c r="M203" s="38"/>
      <c r="N203" s="38"/>
      <c r="O203" s="68">
        <f t="shared" si="49"/>
        <v>0</v>
      </c>
      <c r="P203" s="38"/>
      <c r="Q203" s="38"/>
      <c r="R203" s="39">
        <v>2</v>
      </c>
      <c r="S203" s="68">
        <f t="shared" si="50"/>
        <v>2</v>
      </c>
      <c r="T203" s="49">
        <v>2</v>
      </c>
    </row>
    <row r="204" spans="1:20" ht="18.75" thickBot="1" x14ac:dyDescent="0.3">
      <c r="A204" s="293"/>
      <c r="B204" s="296"/>
      <c r="C204" s="37" t="s">
        <v>60</v>
      </c>
      <c r="D204" s="38"/>
      <c r="E204" s="38"/>
      <c r="F204" s="38"/>
      <c r="G204" s="68">
        <f t="shared" si="38"/>
        <v>0</v>
      </c>
      <c r="H204" s="38"/>
      <c r="I204" s="38"/>
      <c r="J204" s="38"/>
      <c r="K204" s="68">
        <f t="shared" si="48"/>
        <v>0</v>
      </c>
      <c r="L204" s="38"/>
      <c r="M204" s="38"/>
      <c r="N204" s="38"/>
      <c r="O204" s="68">
        <f t="shared" si="49"/>
        <v>0</v>
      </c>
      <c r="P204" s="38"/>
      <c r="Q204" s="38"/>
      <c r="R204" s="38"/>
      <c r="S204" s="68">
        <f t="shared" si="50"/>
        <v>0</v>
      </c>
      <c r="T204" s="49">
        <v>0</v>
      </c>
    </row>
    <row r="205" spans="1:20" ht="18.75" thickBot="1" x14ac:dyDescent="0.3">
      <c r="A205" s="293"/>
      <c r="B205" s="296"/>
      <c r="C205" s="37" t="s">
        <v>61</v>
      </c>
      <c r="D205" s="38"/>
      <c r="E205" s="38"/>
      <c r="F205" s="38"/>
      <c r="G205" s="68">
        <f t="shared" si="38"/>
        <v>0</v>
      </c>
      <c r="H205" s="38"/>
      <c r="I205" s="38"/>
      <c r="J205" s="38"/>
      <c r="K205" s="68">
        <f t="shared" si="48"/>
        <v>0</v>
      </c>
      <c r="L205" s="38"/>
      <c r="M205" s="38"/>
      <c r="N205" s="38"/>
      <c r="O205" s="68">
        <f t="shared" si="49"/>
        <v>0</v>
      </c>
      <c r="P205" s="38"/>
      <c r="Q205" s="38"/>
      <c r="R205" s="38"/>
      <c r="S205" s="68">
        <f t="shared" si="50"/>
        <v>0</v>
      </c>
      <c r="T205" s="49">
        <v>0</v>
      </c>
    </row>
    <row r="206" spans="1:20" ht="18.75" thickBot="1" x14ac:dyDescent="0.3">
      <c r="A206" s="293"/>
      <c r="B206" s="296"/>
      <c r="C206" s="37" t="s">
        <v>62</v>
      </c>
      <c r="D206" s="44">
        <v>1</v>
      </c>
      <c r="E206" s="39">
        <v>1</v>
      </c>
      <c r="F206" s="39">
        <v>2</v>
      </c>
      <c r="G206" s="68">
        <f t="shared" si="38"/>
        <v>4</v>
      </c>
      <c r="H206" s="38"/>
      <c r="I206" s="38"/>
      <c r="J206" s="39">
        <v>2</v>
      </c>
      <c r="K206" s="68">
        <f t="shared" si="48"/>
        <v>2</v>
      </c>
      <c r="L206" s="38"/>
      <c r="M206" s="39">
        <v>1</v>
      </c>
      <c r="N206" s="44">
        <v>1</v>
      </c>
      <c r="O206" s="68">
        <f t="shared" si="49"/>
        <v>2</v>
      </c>
      <c r="P206" s="39">
        <v>4</v>
      </c>
      <c r="Q206" s="38"/>
      <c r="R206" s="38"/>
      <c r="S206" s="68">
        <f t="shared" si="50"/>
        <v>4</v>
      </c>
      <c r="T206" s="49">
        <v>12</v>
      </c>
    </row>
    <row r="207" spans="1:20" ht="18.75" thickBot="1" x14ac:dyDescent="0.3">
      <c r="A207" s="293"/>
      <c r="B207" s="296"/>
      <c r="C207" s="37" t="s">
        <v>63</v>
      </c>
      <c r="D207" s="44">
        <v>2</v>
      </c>
      <c r="E207" s="39">
        <v>1</v>
      </c>
      <c r="F207" s="38"/>
      <c r="G207" s="68">
        <f t="shared" si="38"/>
        <v>3</v>
      </c>
      <c r="H207" s="38"/>
      <c r="I207" s="38"/>
      <c r="J207" s="38"/>
      <c r="K207" s="68">
        <f t="shared" si="48"/>
        <v>0</v>
      </c>
      <c r="L207" s="38"/>
      <c r="M207" s="38"/>
      <c r="N207" s="38"/>
      <c r="O207" s="68">
        <f t="shared" si="49"/>
        <v>0</v>
      </c>
      <c r="P207" s="38"/>
      <c r="Q207" s="38"/>
      <c r="R207" s="38"/>
      <c r="S207" s="68">
        <f t="shared" si="50"/>
        <v>0</v>
      </c>
      <c r="T207" s="49">
        <v>3</v>
      </c>
    </row>
    <row r="208" spans="1:20" ht="27.75" thickBot="1" x14ac:dyDescent="0.3">
      <c r="A208" s="293"/>
      <c r="B208" s="296"/>
      <c r="C208" s="37" t="s">
        <v>64</v>
      </c>
      <c r="D208" s="38"/>
      <c r="E208" s="38"/>
      <c r="F208" s="38"/>
      <c r="G208" s="68">
        <f t="shared" si="38"/>
        <v>0</v>
      </c>
      <c r="H208" s="38"/>
      <c r="I208" s="38"/>
      <c r="J208" s="38"/>
      <c r="K208" s="68">
        <f t="shared" si="48"/>
        <v>0</v>
      </c>
      <c r="L208" s="38"/>
      <c r="M208" s="38"/>
      <c r="N208" s="38"/>
      <c r="O208" s="68">
        <f t="shared" si="49"/>
        <v>0</v>
      </c>
      <c r="P208" s="38"/>
      <c r="Q208" s="38"/>
      <c r="R208" s="38"/>
      <c r="S208" s="68">
        <f t="shared" si="50"/>
        <v>0</v>
      </c>
      <c r="T208" s="49">
        <v>0</v>
      </c>
    </row>
    <row r="209" spans="1:20" ht="15.75" thickBot="1" x14ac:dyDescent="0.3">
      <c r="A209" s="293"/>
      <c r="B209" s="296"/>
      <c r="C209" s="42" t="s">
        <v>65</v>
      </c>
      <c r="D209" s="38"/>
      <c r="E209" s="38"/>
      <c r="F209" s="38"/>
      <c r="G209" s="68">
        <f t="shared" si="38"/>
        <v>0</v>
      </c>
      <c r="H209" s="38"/>
      <c r="I209" s="38"/>
      <c r="J209" s="38"/>
      <c r="K209" s="68">
        <f t="shared" si="48"/>
        <v>0</v>
      </c>
      <c r="L209" s="38"/>
      <c r="M209" s="38"/>
      <c r="N209" s="38"/>
      <c r="O209" s="68">
        <f t="shared" si="49"/>
        <v>0</v>
      </c>
      <c r="P209" s="38"/>
      <c r="Q209" s="38"/>
      <c r="R209" s="38"/>
      <c r="S209" s="68">
        <f t="shared" si="50"/>
        <v>0</v>
      </c>
      <c r="T209" s="49">
        <v>0</v>
      </c>
    </row>
    <row r="210" spans="1:20" ht="15.75" thickBot="1" x14ac:dyDescent="0.3">
      <c r="A210" s="293"/>
      <c r="B210" s="296"/>
      <c r="C210" s="42" t="s">
        <v>66</v>
      </c>
      <c r="D210" s="38"/>
      <c r="E210" s="38"/>
      <c r="F210" s="38"/>
      <c r="G210" s="68">
        <f t="shared" si="38"/>
        <v>0</v>
      </c>
      <c r="H210" s="38"/>
      <c r="I210" s="38"/>
      <c r="J210" s="38"/>
      <c r="K210" s="68">
        <f t="shared" si="48"/>
        <v>0</v>
      </c>
      <c r="L210" s="38"/>
      <c r="M210" s="38"/>
      <c r="N210" s="44">
        <v>6</v>
      </c>
      <c r="O210" s="68">
        <f t="shared" si="49"/>
        <v>6</v>
      </c>
      <c r="P210" s="39">
        <v>5</v>
      </c>
      <c r="Q210" s="39">
        <v>3</v>
      </c>
      <c r="R210" s="38"/>
      <c r="S210" s="68">
        <f t="shared" si="50"/>
        <v>8</v>
      </c>
      <c r="T210" s="49">
        <v>14</v>
      </c>
    </row>
    <row r="211" spans="1:20" ht="18.75" thickBot="1" x14ac:dyDescent="0.3">
      <c r="A211" s="306"/>
      <c r="B211" s="310"/>
      <c r="C211" s="42" t="s">
        <v>67</v>
      </c>
      <c r="D211" s="38"/>
      <c r="E211" s="38"/>
      <c r="F211" s="38"/>
      <c r="G211" s="68">
        <f t="shared" si="38"/>
        <v>0</v>
      </c>
      <c r="H211" s="38"/>
      <c r="I211" s="38"/>
      <c r="J211" s="38"/>
      <c r="K211" s="68">
        <f t="shared" si="48"/>
        <v>0</v>
      </c>
      <c r="L211" s="38"/>
      <c r="M211" s="38"/>
      <c r="N211" s="44">
        <v>2</v>
      </c>
      <c r="O211" s="68">
        <f t="shared" si="49"/>
        <v>2</v>
      </c>
      <c r="P211" s="39">
        <v>1</v>
      </c>
      <c r="Q211" s="39">
        <v>1</v>
      </c>
      <c r="R211" s="38"/>
      <c r="S211" s="68">
        <f t="shared" si="50"/>
        <v>2</v>
      </c>
      <c r="T211" s="49">
        <v>4</v>
      </c>
    </row>
    <row r="212" spans="1:20" ht="15" customHeight="1" thickBot="1" x14ac:dyDescent="0.3">
      <c r="A212" s="71"/>
      <c r="B212" s="72"/>
      <c r="C212" s="72"/>
      <c r="D212" s="72"/>
      <c r="E212" s="72"/>
      <c r="F212" s="72"/>
      <c r="G212" s="73">
        <f>SUM(G200:G211)</f>
        <v>12</v>
      </c>
      <c r="H212" s="73"/>
      <c r="I212" s="73"/>
      <c r="J212" s="73"/>
      <c r="K212" s="73">
        <f>SUM(K201:K211)</f>
        <v>7</v>
      </c>
      <c r="L212" s="73"/>
      <c r="M212" s="73"/>
      <c r="N212" s="73"/>
      <c r="O212" s="73">
        <f>SUM(O200:O211)</f>
        <v>11</v>
      </c>
      <c r="P212" s="73"/>
      <c r="Q212" s="73"/>
      <c r="R212" s="74"/>
      <c r="S212" s="73">
        <f>SUM(S200:S211)</f>
        <v>16</v>
      </c>
      <c r="T212" s="63">
        <f>SUM(T200:T211)</f>
        <v>46</v>
      </c>
    </row>
    <row r="213" spans="1:20" ht="15.75" thickBot="1" x14ac:dyDescent="0.3">
      <c r="A213" s="292">
        <v>17</v>
      </c>
      <c r="B213" s="314" t="s">
        <v>36</v>
      </c>
      <c r="C213" s="37" t="s">
        <v>56</v>
      </c>
      <c r="D213" s="44">
        <v>1</v>
      </c>
      <c r="E213" s="38"/>
      <c r="F213" s="38"/>
      <c r="G213" s="68">
        <f t="shared" si="38"/>
        <v>1</v>
      </c>
      <c r="H213" s="39">
        <v>2</v>
      </c>
      <c r="I213" s="39">
        <v>1</v>
      </c>
      <c r="J213" s="38"/>
      <c r="K213" s="68">
        <f t="shared" ref="K213:K224" si="51">H213+I213+J213</f>
        <v>3</v>
      </c>
      <c r="L213" s="39">
        <v>1</v>
      </c>
      <c r="M213" s="38"/>
      <c r="N213" s="38"/>
      <c r="O213" s="68">
        <f t="shared" ref="O213:O224" si="52">L213+M213+N213</f>
        <v>1</v>
      </c>
      <c r="P213" s="38"/>
      <c r="Q213" s="38"/>
      <c r="R213" s="38"/>
      <c r="S213" s="68">
        <f t="shared" ref="S213:S224" si="53">P213+Q213+R213</f>
        <v>0</v>
      </c>
      <c r="T213" s="49">
        <v>5</v>
      </c>
    </row>
    <row r="214" spans="1:20" ht="18.75" thickBot="1" x14ac:dyDescent="0.3">
      <c r="A214" s="293"/>
      <c r="B214" s="315"/>
      <c r="C214" s="37" t="s">
        <v>57</v>
      </c>
      <c r="D214" s="38"/>
      <c r="E214" s="38"/>
      <c r="F214" s="38"/>
      <c r="G214" s="68">
        <f t="shared" si="38"/>
        <v>0</v>
      </c>
      <c r="H214" s="38"/>
      <c r="I214" s="38"/>
      <c r="J214" s="38"/>
      <c r="K214" s="68">
        <f t="shared" si="51"/>
        <v>0</v>
      </c>
      <c r="L214" s="38"/>
      <c r="M214" s="38"/>
      <c r="N214" s="38"/>
      <c r="O214" s="68">
        <f t="shared" si="52"/>
        <v>0</v>
      </c>
      <c r="P214" s="38"/>
      <c r="Q214" s="38"/>
      <c r="R214" s="38"/>
      <c r="S214" s="68">
        <f t="shared" si="53"/>
        <v>0</v>
      </c>
      <c r="T214" s="49">
        <v>0</v>
      </c>
    </row>
    <row r="215" spans="1:20" ht="18.75" thickBot="1" x14ac:dyDescent="0.3">
      <c r="A215" s="293"/>
      <c r="B215" s="315"/>
      <c r="C215" s="37" t="s">
        <v>58</v>
      </c>
      <c r="D215" s="38"/>
      <c r="E215" s="38"/>
      <c r="F215" s="38"/>
      <c r="G215" s="68">
        <f t="shared" si="38"/>
        <v>0</v>
      </c>
      <c r="H215" s="39">
        <v>2</v>
      </c>
      <c r="I215" s="39">
        <v>1</v>
      </c>
      <c r="J215" s="38"/>
      <c r="K215" s="68">
        <f t="shared" si="51"/>
        <v>3</v>
      </c>
      <c r="L215" s="38"/>
      <c r="M215" s="38"/>
      <c r="N215" s="38"/>
      <c r="O215" s="68">
        <f t="shared" si="52"/>
        <v>0</v>
      </c>
      <c r="P215" s="38"/>
      <c r="Q215" s="38"/>
      <c r="R215" s="38"/>
      <c r="S215" s="68">
        <f t="shared" si="53"/>
        <v>0</v>
      </c>
      <c r="T215" s="49">
        <v>3</v>
      </c>
    </row>
    <row r="216" spans="1:20" ht="18.75" thickBot="1" x14ac:dyDescent="0.3">
      <c r="A216" s="293"/>
      <c r="B216" s="315"/>
      <c r="C216" s="37" t="s">
        <v>59</v>
      </c>
      <c r="D216" s="38"/>
      <c r="E216" s="38"/>
      <c r="F216" s="38"/>
      <c r="G216" s="68">
        <f t="shared" si="38"/>
        <v>0</v>
      </c>
      <c r="H216" s="38"/>
      <c r="I216" s="38"/>
      <c r="J216" s="38"/>
      <c r="K216" s="68">
        <f t="shared" si="51"/>
        <v>0</v>
      </c>
      <c r="L216" s="38"/>
      <c r="M216" s="38"/>
      <c r="N216" s="38"/>
      <c r="O216" s="68">
        <f t="shared" si="52"/>
        <v>0</v>
      </c>
      <c r="P216" s="38"/>
      <c r="Q216" s="38"/>
      <c r="R216" s="38"/>
      <c r="S216" s="68">
        <f t="shared" si="53"/>
        <v>0</v>
      </c>
      <c r="T216" s="49">
        <v>0</v>
      </c>
    </row>
    <row r="217" spans="1:20" ht="18.75" thickBot="1" x14ac:dyDescent="0.3">
      <c r="A217" s="293"/>
      <c r="B217" s="315"/>
      <c r="C217" s="37" t="s">
        <v>60</v>
      </c>
      <c r="D217" s="38"/>
      <c r="E217" s="38"/>
      <c r="F217" s="38"/>
      <c r="G217" s="68">
        <f t="shared" si="38"/>
        <v>0</v>
      </c>
      <c r="H217" s="38"/>
      <c r="I217" s="38"/>
      <c r="J217" s="38"/>
      <c r="K217" s="68">
        <f t="shared" si="51"/>
        <v>0</v>
      </c>
      <c r="L217" s="38"/>
      <c r="M217" s="38"/>
      <c r="N217" s="38"/>
      <c r="O217" s="68">
        <f t="shared" si="52"/>
        <v>0</v>
      </c>
      <c r="P217" s="38"/>
      <c r="Q217" s="38"/>
      <c r="R217" s="38"/>
      <c r="S217" s="68">
        <f t="shared" si="53"/>
        <v>0</v>
      </c>
      <c r="T217" s="49">
        <v>0</v>
      </c>
    </row>
    <row r="218" spans="1:20" ht="18.75" thickBot="1" x14ac:dyDescent="0.3">
      <c r="A218" s="293"/>
      <c r="B218" s="315"/>
      <c r="C218" s="37" t="s">
        <v>61</v>
      </c>
      <c r="D218" s="38"/>
      <c r="E218" s="38"/>
      <c r="F218" s="38"/>
      <c r="G218" s="68">
        <f t="shared" si="38"/>
        <v>0</v>
      </c>
      <c r="H218" s="38"/>
      <c r="I218" s="38"/>
      <c r="J218" s="38"/>
      <c r="K218" s="68">
        <f t="shared" si="51"/>
        <v>0</v>
      </c>
      <c r="L218" s="38"/>
      <c r="M218" s="38"/>
      <c r="N218" s="38"/>
      <c r="O218" s="68">
        <f t="shared" si="52"/>
        <v>0</v>
      </c>
      <c r="P218" s="38"/>
      <c r="Q218" s="38"/>
      <c r="R218" s="38"/>
      <c r="S218" s="68">
        <f t="shared" si="53"/>
        <v>0</v>
      </c>
      <c r="T218" s="49">
        <v>0</v>
      </c>
    </row>
    <row r="219" spans="1:20" ht="18.75" thickBot="1" x14ac:dyDescent="0.3">
      <c r="A219" s="293"/>
      <c r="B219" s="315"/>
      <c r="C219" s="37" t="s">
        <v>62</v>
      </c>
      <c r="D219" s="38"/>
      <c r="E219" s="39">
        <v>1</v>
      </c>
      <c r="F219" s="38"/>
      <c r="G219" s="68">
        <f t="shared" si="38"/>
        <v>1</v>
      </c>
      <c r="H219" s="39">
        <v>1</v>
      </c>
      <c r="I219" s="38"/>
      <c r="J219" s="39">
        <v>1</v>
      </c>
      <c r="K219" s="68">
        <f t="shared" si="51"/>
        <v>2</v>
      </c>
      <c r="L219" s="38"/>
      <c r="M219" s="39">
        <v>1</v>
      </c>
      <c r="N219" s="38"/>
      <c r="O219" s="68">
        <f t="shared" si="52"/>
        <v>1</v>
      </c>
      <c r="P219" s="39">
        <v>3</v>
      </c>
      <c r="Q219" s="38"/>
      <c r="R219" s="38"/>
      <c r="S219" s="68">
        <f t="shared" si="53"/>
        <v>3</v>
      </c>
      <c r="T219" s="49">
        <v>7</v>
      </c>
    </row>
    <row r="220" spans="1:20" ht="18.75" thickBot="1" x14ac:dyDescent="0.3">
      <c r="A220" s="293"/>
      <c r="B220" s="315"/>
      <c r="C220" s="37" t="s">
        <v>63</v>
      </c>
      <c r="D220" s="38"/>
      <c r="E220" s="39">
        <v>1</v>
      </c>
      <c r="F220" s="38"/>
      <c r="G220" s="68">
        <f t="shared" si="38"/>
        <v>1</v>
      </c>
      <c r="H220" s="38"/>
      <c r="I220" s="38"/>
      <c r="J220" s="38"/>
      <c r="K220" s="68">
        <f t="shared" si="51"/>
        <v>0</v>
      </c>
      <c r="L220" s="38"/>
      <c r="M220" s="38"/>
      <c r="N220" s="38"/>
      <c r="O220" s="68">
        <f t="shared" si="52"/>
        <v>0</v>
      </c>
      <c r="P220" s="38"/>
      <c r="Q220" s="38"/>
      <c r="R220" s="39">
        <v>1</v>
      </c>
      <c r="S220" s="68">
        <f t="shared" si="53"/>
        <v>1</v>
      </c>
      <c r="T220" s="49">
        <v>2</v>
      </c>
    </row>
    <row r="221" spans="1:20" ht="27.75" thickBot="1" x14ac:dyDescent="0.3">
      <c r="A221" s="293"/>
      <c r="B221" s="315"/>
      <c r="C221" s="37" t="s">
        <v>64</v>
      </c>
      <c r="D221" s="38"/>
      <c r="E221" s="38"/>
      <c r="F221" s="38"/>
      <c r="G221" s="68">
        <f t="shared" si="38"/>
        <v>0</v>
      </c>
      <c r="H221" s="38"/>
      <c r="I221" s="38"/>
      <c r="J221" s="38"/>
      <c r="K221" s="68">
        <f t="shared" si="51"/>
        <v>0</v>
      </c>
      <c r="L221" s="38"/>
      <c r="M221" s="38"/>
      <c r="N221" s="38"/>
      <c r="O221" s="68">
        <f t="shared" si="52"/>
        <v>0</v>
      </c>
      <c r="P221" s="38"/>
      <c r="Q221" s="38"/>
      <c r="R221" s="38"/>
      <c r="S221" s="68">
        <f t="shared" si="53"/>
        <v>0</v>
      </c>
      <c r="T221" s="49">
        <v>0</v>
      </c>
    </row>
    <row r="222" spans="1:20" ht="15.75" thickBot="1" x14ac:dyDescent="0.3">
      <c r="A222" s="293"/>
      <c r="B222" s="315"/>
      <c r="C222" s="42" t="s">
        <v>65</v>
      </c>
      <c r="D222" s="38"/>
      <c r="E222" s="38"/>
      <c r="F222" s="38"/>
      <c r="G222" s="68">
        <f t="shared" si="38"/>
        <v>0</v>
      </c>
      <c r="H222" s="38"/>
      <c r="I222" s="38"/>
      <c r="J222" s="38"/>
      <c r="K222" s="68">
        <f t="shared" si="51"/>
        <v>0</v>
      </c>
      <c r="L222" s="38"/>
      <c r="M222" s="38"/>
      <c r="N222" s="38"/>
      <c r="O222" s="68">
        <f t="shared" si="52"/>
        <v>0</v>
      </c>
      <c r="P222" s="38"/>
      <c r="Q222" s="38"/>
      <c r="R222" s="38"/>
      <c r="S222" s="68">
        <f t="shared" si="53"/>
        <v>0</v>
      </c>
      <c r="T222" s="49">
        <v>0</v>
      </c>
    </row>
    <row r="223" spans="1:20" ht="15.75" thickBot="1" x14ac:dyDescent="0.3">
      <c r="A223" s="293"/>
      <c r="B223" s="315"/>
      <c r="C223" s="42" t="s">
        <v>66</v>
      </c>
      <c r="D223" s="38"/>
      <c r="E223" s="38"/>
      <c r="F223" s="38"/>
      <c r="G223" s="68">
        <f t="shared" si="38"/>
        <v>0</v>
      </c>
      <c r="H223" s="38"/>
      <c r="I223" s="38"/>
      <c r="J223" s="38"/>
      <c r="K223" s="68">
        <f t="shared" si="51"/>
        <v>0</v>
      </c>
      <c r="L223" s="38"/>
      <c r="M223" s="38"/>
      <c r="N223" s="38"/>
      <c r="O223" s="68">
        <f t="shared" si="52"/>
        <v>0</v>
      </c>
      <c r="P223" s="38"/>
      <c r="Q223" s="38"/>
      <c r="R223" s="38"/>
      <c r="S223" s="68">
        <f t="shared" si="53"/>
        <v>0</v>
      </c>
      <c r="T223" s="49">
        <v>0</v>
      </c>
    </row>
    <row r="224" spans="1:20" ht="18.75" thickBot="1" x14ac:dyDescent="0.3">
      <c r="A224" s="306"/>
      <c r="B224" s="316"/>
      <c r="C224" s="42" t="s">
        <v>67</v>
      </c>
      <c r="D224" s="38"/>
      <c r="E224" s="38"/>
      <c r="F224" s="38"/>
      <c r="G224" s="68">
        <f t="shared" si="38"/>
        <v>0</v>
      </c>
      <c r="H224" s="38"/>
      <c r="I224" s="38"/>
      <c r="J224" s="38"/>
      <c r="K224" s="68">
        <f t="shared" si="51"/>
        <v>0</v>
      </c>
      <c r="L224" s="38"/>
      <c r="M224" s="38"/>
      <c r="N224" s="38"/>
      <c r="O224" s="68">
        <f t="shared" si="52"/>
        <v>0</v>
      </c>
      <c r="P224" s="38"/>
      <c r="Q224" s="38"/>
      <c r="R224" s="38"/>
      <c r="S224" s="68">
        <f t="shared" si="53"/>
        <v>0</v>
      </c>
      <c r="T224" s="49">
        <v>0</v>
      </c>
    </row>
    <row r="225" spans="1:20" ht="15" customHeight="1" thickBot="1" x14ac:dyDescent="0.3">
      <c r="A225" s="71"/>
      <c r="B225" s="72"/>
      <c r="C225" s="72"/>
      <c r="D225" s="72"/>
      <c r="E225" s="72"/>
      <c r="F225" s="72"/>
      <c r="G225" s="73">
        <f>SUM(G213:G224)</f>
        <v>3</v>
      </c>
      <c r="H225" s="73"/>
      <c r="I225" s="73"/>
      <c r="J225" s="73"/>
      <c r="K225" s="73">
        <f>SUM(K214:K224)</f>
        <v>5</v>
      </c>
      <c r="L225" s="73"/>
      <c r="M225" s="73"/>
      <c r="N225" s="73"/>
      <c r="O225" s="73">
        <f>SUM(O213:O224)</f>
        <v>2</v>
      </c>
      <c r="P225" s="73"/>
      <c r="Q225" s="73"/>
      <c r="R225" s="74"/>
      <c r="S225" s="73">
        <f>SUM(S213:S224)</f>
        <v>4</v>
      </c>
      <c r="T225" s="63">
        <f>SUM(T213:T224)</f>
        <v>17</v>
      </c>
    </row>
    <row r="226" spans="1:20" ht="15.75" thickBot="1" x14ac:dyDescent="0.3">
      <c r="A226" s="292">
        <v>18</v>
      </c>
      <c r="B226" s="295" t="s">
        <v>34</v>
      </c>
      <c r="C226" s="37" t="s">
        <v>56</v>
      </c>
      <c r="D226" s="38"/>
      <c r="E226" s="38"/>
      <c r="F226" s="38"/>
      <c r="G226" s="68">
        <f t="shared" si="38"/>
        <v>0</v>
      </c>
      <c r="H226" s="38"/>
      <c r="I226" s="38"/>
      <c r="J226" s="38"/>
      <c r="K226" s="68">
        <f t="shared" ref="K226:K237" si="54">H226+I226+J226</f>
        <v>0</v>
      </c>
      <c r="L226" s="38"/>
      <c r="M226" s="38"/>
      <c r="N226" s="38"/>
      <c r="O226" s="68">
        <f t="shared" ref="O226:O237" si="55">L226+M226+N226</f>
        <v>0</v>
      </c>
      <c r="P226" s="38"/>
      <c r="Q226" s="38"/>
      <c r="R226" s="38"/>
      <c r="S226" s="68">
        <f t="shared" ref="S226:S250" si="56">P226+Q226+R226</f>
        <v>0</v>
      </c>
      <c r="T226" s="49">
        <v>0</v>
      </c>
    </row>
    <row r="227" spans="1:20" ht="18.75" thickBot="1" x14ac:dyDescent="0.3">
      <c r="A227" s="293"/>
      <c r="B227" s="296"/>
      <c r="C227" s="37" t="s">
        <v>57</v>
      </c>
      <c r="D227" s="38"/>
      <c r="E227" s="38"/>
      <c r="F227" s="38"/>
      <c r="G227" s="68">
        <f t="shared" ref="G227:G291" si="57">D227+E227+F227</f>
        <v>0</v>
      </c>
      <c r="H227" s="38"/>
      <c r="I227" s="38"/>
      <c r="J227" s="38"/>
      <c r="K227" s="68">
        <f t="shared" si="54"/>
        <v>0</v>
      </c>
      <c r="L227" s="38"/>
      <c r="M227" s="38"/>
      <c r="N227" s="38"/>
      <c r="O227" s="68">
        <f t="shared" si="55"/>
        <v>0</v>
      </c>
      <c r="P227" s="38"/>
      <c r="Q227" s="38"/>
      <c r="R227" s="38"/>
      <c r="S227" s="68">
        <f t="shared" si="56"/>
        <v>0</v>
      </c>
      <c r="T227" s="49">
        <v>0</v>
      </c>
    </row>
    <row r="228" spans="1:20" ht="18.75" thickBot="1" x14ac:dyDescent="0.3">
      <c r="A228" s="293"/>
      <c r="B228" s="296"/>
      <c r="C228" s="37" t="s">
        <v>58</v>
      </c>
      <c r="D228" s="38"/>
      <c r="E228" s="39">
        <v>2</v>
      </c>
      <c r="F228" s="39">
        <v>3</v>
      </c>
      <c r="G228" s="68">
        <f t="shared" si="57"/>
        <v>5</v>
      </c>
      <c r="H228" s="39">
        <v>2</v>
      </c>
      <c r="I228" s="38"/>
      <c r="J228" s="38"/>
      <c r="K228" s="68">
        <f t="shared" si="54"/>
        <v>2</v>
      </c>
      <c r="L228" s="38"/>
      <c r="M228" s="38"/>
      <c r="N228" s="38"/>
      <c r="O228" s="68">
        <f t="shared" si="55"/>
        <v>0</v>
      </c>
      <c r="P228" s="38"/>
      <c r="Q228" s="38"/>
      <c r="R228" s="38"/>
      <c r="S228" s="68">
        <f t="shared" si="56"/>
        <v>0</v>
      </c>
      <c r="T228" s="49">
        <v>7</v>
      </c>
    </row>
    <row r="229" spans="1:20" ht="18.75" thickBot="1" x14ac:dyDescent="0.3">
      <c r="A229" s="293"/>
      <c r="B229" s="296"/>
      <c r="C229" s="37" t="s">
        <v>59</v>
      </c>
      <c r="D229" s="38"/>
      <c r="E229" s="38"/>
      <c r="F229" s="38"/>
      <c r="G229" s="68">
        <f t="shared" si="57"/>
        <v>0</v>
      </c>
      <c r="H229" s="38"/>
      <c r="I229" s="38"/>
      <c r="J229" s="38"/>
      <c r="K229" s="68">
        <f t="shared" si="54"/>
        <v>0</v>
      </c>
      <c r="L229" s="38"/>
      <c r="M229" s="38"/>
      <c r="N229" s="38"/>
      <c r="O229" s="68">
        <f t="shared" si="55"/>
        <v>0</v>
      </c>
      <c r="P229" s="38"/>
      <c r="Q229" s="38"/>
      <c r="R229" s="38"/>
      <c r="S229" s="68">
        <f t="shared" si="56"/>
        <v>0</v>
      </c>
      <c r="T229" s="49">
        <v>0</v>
      </c>
    </row>
    <row r="230" spans="1:20" ht="18.75" thickBot="1" x14ac:dyDescent="0.3">
      <c r="A230" s="293"/>
      <c r="B230" s="296"/>
      <c r="C230" s="37" t="s">
        <v>60</v>
      </c>
      <c r="D230" s="38"/>
      <c r="E230" s="38"/>
      <c r="F230" s="38"/>
      <c r="G230" s="68">
        <f t="shared" si="57"/>
        <v>0</v>
      </c>
      <c r="H230" s="38"/>
      <c r="I230" s="38"/>
      <c r="J230" s="38"/>
      <c r="K230" s="68">
        <f t="shared" si="54"/>
        <v>0</v>
      </c>
      <c r="L230" s="38"/>
      <c r="M230" s="38"/>
      <c r="N230" s="38"/>
      <c r="O230" s="68">
        <f t="shared" si="55"/>
        <v>0</v>
      </c>
      <c r="P230" s="38"/>
      <c r="Q230" s="38"/>
      <c r="R230" s="38"/>
      <c r="S230" s="68">
        <f t="shared" si="56"/>
        <v>0</v>
      </c>
      <c r="T230" s="49">
        <v>0</v>
      </c>
    </row>
    <row r="231" spans="1:20" ht="18.75" thickBot="1" x14ac:dyDescent="0.3">
      <c r="A231" s="293"/>
      <c r="B231" s="296"/>
      <c r="C231" s="37" t="s">
        <v>61</v>
      </c>
      <c r="D231" s="38"/>
      <c r="E231" s="38"/>
      <c r="F231" s="38"/>
      <c r="G231" s="68">
        <f t="shared" si="57"/>
        <v>0</v>
      </c>
      <c r="H231" s="38"/>
      <c r="I231" s="38"/>
      <c r="J231" s="38"/>
      <c r="K231" s="68">
        <f t="shared" si="54"/>
        <v>0</v>
      </c>
      <c r="L231" s="38"/>
      <c r="M231" s="38"/>
      <c r="N231" s="38"/>
      <c r="O231" s="68">
        <f t="shared" si="55"/>
        <v>0</v>
      </c>
      <c r="P231" s="38"/>
      <c r="Q231" s="38"/>
      <c r="R231" s="38"/>
      <c r="S231" s="68">
        <f t="shared" si="56"/>
        <v>0</v>
      </c>
      <c r="T231" s="49">
        <v>0</v>
      </c>
    </row>
    <row r="232" spans="1:20" ht="18.75" thickBot="1" x14ac:dyDescent="0.3">
      <c r="A232" s="293"/>
      <c r="B232" s="296"/>
      <c r="C232" s="37" t="s">
        <v>62</v>
      </c>
      <c r="D232" s="44">
        <v>1</v>
      </c>
      <c r="E232" s="39">
        <v>1</v>
      </c>
      <c r="F232" s="38"/>
      <c r="G232" s="68">
        <f t="shared" si="57"/>
        <v>2</v>
      </c>
      <c r="H232" s="38"/>
      <c r="I232" s="38"/>
      <c r="J232" s="38"/>
      <c r="K232" s="68">
        <f t="shared" si="54"/>
        <v>0</v>
      </c>
      <c r="L232" s="38"/>
      <c r="M232" s="39">
        <v>1</v>
      </c>
      <c r="N232" s="38"/>
      <c r="O232" s="68">
        <f t="shared" si="55"/>
        <v>1</v>
      </c>
      <c r="P232" s="39">
        <v>2</v>
      </c>
      <c r="Q232" s="38"/>
      <c r="R232" s="38"/>
      <c r="S232" s="68">
        <f t="shared" si="56"/>
        <v>2</v>
      </c>
      <c r="T232" s="49">
        <v>5</v>
      </c>
    </row>
    <row r="233" spans="1:20" ht="18.75" thickBot="1" x14ac:dyDescent="0.3">
      <c r="A233" s="293"/>
      <c r="B233" s="296"/>
      <c r="C233" s="37" t="s">
        <v>63</v>
      </c>
      <c r="D233" s="38"/>
      <c r="E233" s="38"/>
      <c r="F233" s="38"/>
      <c r="G233" s="68">
        <f t="shared" si="57"/>
        <v>0</v>
      </c>
      <c r="H233" s="38"/>
      <c r="I233" s="38"/>
      <c r="J233" s="38"/>
      <c r="K233" s="68">
        <f t="shared" si="54"/>
        <v>0</v>
      </c>
      <c r="L233" s="38"/>
      <c r="M233" s="38"/>
      <c r="N233" s="38"/>
      <c r="O233" s="68">
        <f t="shared" si="55"/>
        <v>0</v>
      </c>
      <c r="P233" s="38"/>
      <c r="Q233" s="38"/>
      <c r="R233" s="39">
        <v>1</v>
      </c>
      <c r="S233" s="68">
        <f t="shared" si="56"/>
        <v>1</v>
      </c>
      <c r="T233" s="49">
        <v>1</v>
      </c>
    </row>
    <row r="234" spans="1:20" ht="27.75" thickBot="1" x14ac:dyDescent="0.3">
      <c r="A234" s="293"/>
      <c r="B234" s="296"/>
      <c r="C234" s="37" t="s">
        <v>64</v>
      </c>
      <c r="D234" s="38"/>
      <c r="E234" s="38"/>
      <c r="F234" s="39">
        <v>2</v>
      </c>
      <c r="G234" s="68">
        <f t="shared" si="57"/>
        <v>2</v>
      </c>
      <c r="H234" s="39">
        <v>3</v>
      </c>
      <c r="I234" s="38"/>
      <c r="J234" s="38"/>
      <c r="K234" s="68">
        <f t="shared" si="54"/>
        <v>3</v>
      </c>
      <c r="L234" s="38"/>
      <c r="M234" s="38"/>
      <c r="N234" s="44">
        <v>1</v>
      </c>
      <c r="O234" s="68">
        <f t="shared" si="55"/>
        <v>1</v>
      </c>
      <c r="P234" s="39">
        <v>1</v>
      </c>
      <c r="Q234" s="38"/>
      <c r="R234" s="38"/>
      <c r="S234" s="68">
        <f t="shared" si="56"/>
        <v>1</v>
      </c>
      <c r="T234" s="49">
        <v>7</v>
      </c>
    </row>
    <row r="235" spans="1:20" ht="15.75" thickBot="1" x14ac:dyDescent="0.3">
      <c r="A235" s="293"/>
      <c r="B235" s="296"/>
      <c r="C235" s="42" t="s">
        <v>65</v>
      </c>
      <c r="D235" s="38"/>
      <c r="E235" s="38"/>
      <c r="F235" s="38"/>
      <c r="G235" s="68">
        <f t="shared" si="57"/>
        <v>0</v>
      </c>
      <c r="H235" s="38"/>
      <c r="I235" s="38"/>
      <c r="J235" s="38"/>
      <c r="K235" s="68">
        <f t="shared" si="54"/>
        <v>0</v>
      </c>
      <c r="L235" s="38"/>
      <c r="M235" s="38"/>
      <c r="N235" s="38"/>
      <c r="O235" s="68">
        <f t="shared" si="55"/>
        <v>0</v>
      </c>
      <c r="P235" s="38"/>
      <c r="Q235" s="38"/>
      <c r="R235" s="38"/>
      <c r="S235" s="68">
        <f t="shared" si="56"/>
        <v>0</v>
      </c>
      <c r="T235" s="49">
        <v>0</v>
      </c>
    </row>
    <row r="236" spans="1:20" ht="15.75" thickBot="1" x14ac:dyDescent="0.3">
      <c r="A236" s="293"/>
      <c r="B236" s="296"/>
      <c r="C236" s="42" t="s">
        <v>66</v>
      </c>
      <c r="D236" s="38"/>
      <c r="E236" s="38"/>
      <c r="F236" s="38"/>
      <c r="G236" s="68">
        <f t="shared" si="57"/>
        <v>0</v>
      </c>
      <c r="H236" s="38"/>
      <c r="I236" s="38"/>
      <c r="J236" s="38"/>
      <c r="K236" s="68">
        <f t="shared" si="54"/>
        <v>0</v>
      </c>
      <c r="L236" s="38"/>
      <c r="M236" s="38"/>
      <c r="N236" s="44">
        <v>1</v>
      </c>
      <c r="O236" s="68">
        <f t="shared" si="55"/>
        <v>1</v>
      </c>
      <c r="P236" s="39">
        <v>2</v>
      </c>
      <c r="Q236" s="38"/>
      <c r="R236" s="38"/>
      <c r="S236" s="68">
        <f t="shared" si="56"/>
        <v>2</v>
      </c>
      <c r="T236" s="49">
        <v>3</v>
      </c>
    </row>
    <row r="237" spans="1:20" ht="18.75" thickBot="1" x14ac:dyDescent="0.3">
      <c r="A237" s="306"/>
      <c r="B237" s="310"/>
      <c r="C237" s="42" t="s">
        <v>67</v>
      </c>
      <c r="D237" s="38"/>
      <c r="E237" s="38"/>
      <c r="F237" s="38"/>
      <c r="G237" s="68">
        <f t="shared" si="57"/>
        <v>0</v>
      </c>
      <c r="H237" s="38"/>
      <c r="I237" s="38"/>
      <c r="J237" s="38"/>
      <c r="K237" s="68">
        <f t="shared" si="54"/>
        <v>0</v>
      </c>
      <c r="L237" s="38"/>
      <c r="M237" s="38"/>
      <c r="N237" s="44">
        <v>1</v>
      </c>
      <c r="O237" s="68">
        <f t="shared" si="55"/>
        <v>1</v>
      </c>
      <c r="P237" s="38"/>
      <c r="Q237" s="38"/>
      <c r="R237" s="38"/>
      <c r="S237" s="68">
        <f t="shared" si="56"/>
        <v>0</v>
      </c>
      <c r="T237" s="49">
        <v>1</v>
      </c>
    </row>
    <row r="238" spans="1:20" ht="15" customHeight="1" thickBot="1" x14ac:dyDescent="0.3">
      <c r="A238" s="71"/>
      <c r="B238" s="72"/>
      <c r="C238" s="72"/>
      <c r="D238" s="72"/>
      <c r="E238" s="72"/>
      <c r="F238" s="72"/>
      <c r="G238" s="73">
        <f>SUM(G226:G237)</f>
        <v>9</v>
      </c>
      <c r="H238" s="73"/>
      <c r="I238" s="73"/>
      <c r="J238" s="73"/>
      <c r="K238" s="73">
        <f>SUM(K227:K237)</f>
        <v>5</v>
      </c>
      <c r="L238" s="73"/>
      <c r="M238" s="73"/>
      <c r="N238" s="73"/>
      <c r="O238" s="73">
        <f>SUM(O226:O237)</f>
        <v>4</v>
      </c>
      <c r="P238" s="73"/>
      <c r="Q238" s="73"/>
      <c r="R238" s="74"/>
      <c r="S238" s="73">
        <f>SUM(S226:S237)</f>
        <v>6</v>
      </c>
      <c r="T238" s="63">
        <f>SUM(T226:T237)</f>
        <v>24</v>
      </c>
    </row>
    <row r="239" spans="1:20" ht="15.75" thickBot="1" x14ac:dyDescent="0.3">
      <c r="A239" s="292">
        <v>19</v>
      </c>
      <c r="B239" s="295" t="s">
        <v>38</v>
      </c>
      <c r="C239" s="37" t="s">
        <v>56</v>
      </c>
      <c r="D239" s="44">
        <v>1</v>
      </c>
      <c r="E239" s="39">
        <v>1</v>
      </c>
      <c r="F239" s="39">
        <v>5</v>
      </c>
      <c r="G239" s="68">
        <f t="shared" si="57"/>
        <v>7</v>
      </c>
      <c r="H239" s="39">
        <v>1</v>
      </c>
      <c r="I239" s="39">
        <v>2</v>
      </c>
      <c r="J239" s="38"/>
      <c r="K239" s="68">
        <f t="shared" ref="K239:K250" si="58">H239+I239+J239</f>
        <v>3</v>
      </c>
      <c r="L239" s="38"/>
      <c r="M239" s="38"/>
      <c r="N239" s="44">
        <v>1</v>
      </c>
      <c r="O239" s="68">
        <f t="shared" ref="O239:O250" si="59">L239+M239+N239</f>
        <v>1</v>
      </c>
      <c r="P239" s="39">
        <v>1</v>
      </c>
      <c r="Q239" s="38"/>
      <c r="R239" s="38"/>
      <c r="S239" s="68">
        <f t="shared" si="56"/>
        <v>1</v>
      </c>
      <c r="T239" s="49">
        <v>12</v>
      </c>
    </row>
    <row r="240" spans="1:20" ht="18.75" thickBot="1" x14ac:dyDescent="0.3">
      <c r="A240" s="293"/>
      <c r="B240" s="296"/>
      <c r="C240" s="37" t="s">
        <v>57</v>
      </c>
      <c r="D240" s="38"/>
      <c r="E240" s="38"/>
      <c r="F240" s="38"/>
      <c r="G240" s="68">
        <f t="shared" si="57"/>
        <v>0</v>
      </c>
      <c r="H240" s="38"/>
      <c r="I240" s="38"/>
      <c r="J240" s="38"/>
      <c r="K240" s="68">
        <f t="shared" si="58"/>
        <v>0</v>
      </c>
      <c r="L240" s="38"/>
      <c r="M240" s="38"/>
      <c r="N240" s="38"/>
      <c r="O240" s="68">
        <f t="shared" si="59"/>
        <v>0</v>
      </c>
      <c r="P240" s="38"/>
      <c r="Q240" s="38"/>
      <c r="R240" s="38"/>
      <c r="S240" s="68">
        <f t="shared" si="56"/>
        <v>0</v>
      </c>
      <c r="T240" s="49">
        <v>0</v>
      </c>
    </row>
    <row r="241" spans="1:20" ht="18.75" thickBot="1" x14ac:dyDescent="0.3">
      <c r="A241" s="293"/>
      <c r="B241" s="296"/>
      <c r="C241" s="37" t="s">
        <v>58</v>
      </c>
      <c r="D241" s="38"/>
      <c r="E241" s="38"/>
      <c r="F241" s="39">
        <v>2</v>
      </c>
      <c r="G241" s="68">
        <f t="shared" si="57"/>
        <v>2</v>
      </c>
      <c r="H241" s="38"/>
      <c r="I241" s="38"/>
      <c r="J241" s="38"/>
      <c r="K241" s="68">
        <f t="shared" si="58"/>
        <v>0</v>
      </c>
      <c r="L241" s="38"/>
      <c r="M241" s="38"/>
      <c r="N241" s="38"/>
      <c r="O241" s="68">
        <f t="shared" si="59"/>
        <v>0</v>
      </c>
      <c r="P241" s="38"/>
      <c r="Q241" s="38"/>
      <c r="R241" s="38"/>
      <c r="S241" s="68">
        <f t="shared" si="56"/>
        <v>0</v>
      </c>
      <c r="T241" s="49">
        <v>2</v>
      </c>
    </row>
    <row r="242" spans="1:20" ht="18.75" thickBot="1" x14ac:dyDescent="0.3">
      <c r="A242" s="293"/>
      <c r="B242" s="296"/>
      <c r="C242" s="37" t="s">
        <v>59</v>
      </c>
      <c r="D242" s="38"/>
      <c r="E242" s="38"/>
      <c r="F242" s="38"/>
      <c r="G242" s="68">
        <f t="shared" si="57"/>
        <v>0</v>
      </c>
      <c r="H242" s="38"/>
      <c r="I242" s="38"/>
      <c r="J242" s="38"/>
      <c r="K242" s="68">
        <f t="shared" si="58"/>
        <v>0</v>
      </c>
      <c r="L242" s="38"/>
      <c r="M242" s="38"/>
      <c r="N242" s="38"/>
      <c r="O242" s="68">
        <f t="shared" si="59"/>
        <v>0</v>
      </c>
      <c r="P242" s="38"/>
      <c r="Q242" s="38"/>
      <c r="R242" s="38"/>
      <c r="S242" s="68">
        <f t="shared" si="56"/>
        <v>0</v>
      </c>
      <c r="T242" s="49">
        <v>0</v>
      </c>
    </row>
    <row r="243" spans="1:20" ht="18.75" thickBot="1" x14ac:dyDescent="0.3">
      <c r="A243" s="293"/>
      <c r="B243" s="296"/>
      <c r="C243" s="37" t="s">
        <v>60</v>
      </c>
      <c r="D243" s="38"/>
      <c r="E243" s="38"/>
      <c r="F243" s="38"/>
      <c r="G243" s="68">
        <f t="shared" si="57"/>
        <v>0</v>
      </c>
      <c r="H243" s="38"/>
      <c r="I243" s="38"/>
      <c r="J243" s="38"/>
      <c r="K243" s="68">
        <f t="shared" si="58"/>
        <v>0</v>
      </c>
      <c r="L243" s="38"/>
      <c r="M243" s="38"/>
      <c r="N243" s="38"/>
      <c r="O243" s="68">
        <f t="shared" si="59"/>
        <v>0</v>
      </c>
      <c r="P243" s="38"/>
      <c r="Q243" s="38"/>
      <c r="R243" s="38"/>
      <c r="S243" s="68">
        <f t="shared" si="56"/>
        <v>0</v>
      </c>
      <c r="T243" s="49">
        <v>0</v>
      </c>
    </row>
    <row r="244" spans="1:20" ht="18.75" thickBot="1" x14ac:dyDescent="0.3">
      <c r="A244" s="293"/>
      <c r="B244" s="296"/>
      <c r="C244" s="37" t="s">
        <v>61</v>
      </c>
      <c r="D244" s="38"/>
      <c r="E244" s="38"/>
      <c r="F244" s="38"/>
      <c r="G244" s="68">
        <f t="shared" si="57"/>
        <v>0</v>
      </c>
      <c r="H244" s="38"/>
      <c r="I244" s="38"/>
      <c r="J244" s="38"/>
      <c r="K244" s="68">
        <f t="shared" si="58"/>
        <v>0</v>
      </c>
      <c r="L244" s="38"/>
      <c r="M244" s="38"/>
      <c r="N244" s="38"/>
      <c r="O244" s="68">
        <f t="shared" si="59"/>
        <v>0</v>
      </c>
      <c r="P244" s="38"/>
      <c r="Q244" s="38"/>
      <c r="R244" s="38"/>
      <c r="S244" s="68">
        <f t="shared" si="56"/>
        <v>0</v>
      </c>
      <c r="T244" s="49">
        <v>0</v>
      </c>
    </row>
    <row r="245" spans="1:20" ht="18.75" thickBot="1" x14ac:dyDescent="0.3">
      <c r="A245" s="293"/>
      <c r="B245" s="296"/>
      <c r="C245" s="37" t="s">
        <v>62</v>
      </c>
      <c r="D245" s="44">
        <v>3</v>
      </c>
      <c r="E245" s="38"/>
      <c r="F245" s="39">
        <v>1</v>
      </c>
      <c r="G245" s="68">
        <f t="shared" si="57"/>
        <v>4</v>
      </c>
      <c r="H245" s="38"/>
      <c r="I245" s="38"/>
      <c r="J245" s="39">
        <v>1</v>
      </c>
      <c r="K245" s="68">
        <f t="shared" si="58"/>
        <v>1</v>
      </c>
      <c r="L245" s="38"/>
      <c r="M245" s="38"/>
      <c r="N245" s="44">
        <v>1</v>
      </c>
      <c r="O245" s="68">
        <f t="shared" si="59"/>
        <v>1</v>
      </c>
      <c r="P245" s="39">
        <v>3</v>
      </c>
      <c r="Q245" s="39">
        <v>2</v>
      </c>
      <c r="R245" s="39">
        <v>1</v>
      </c>
      <c r="S245" s="68">
        <f t="shared" si="56"/>
        <v>6</v>
      </c>
      <c r="T245" s="49">
        <v>12</v>
      </c>
    </row>
    <row r="246" spans="1:20" ht="18.75" thickBot="1" x14ac:dyDescent="0.3">
      <c r="A246" s="293"/>
      <c r="B246" s="296"/>
      <c r="C246" s="37" t="s">
        <v>63</v>
      </c>
      <c r="D246" s="44">
        <v>1</v>
      </c>
      <c r="E246" s="38"/>
      <c r="F246" s="38"/>
      <c r="G246" s="68">
        <f t="shared" si="57"/>
        <v>1</v>
      </c>
      <c r="H246" s="39">
        <v>1</v>
      </c>
      <c r="I246" s="38"/>
      <c r="J246" s="38"/>
      <c r="K246" s="68">
        <f t="shared" si="58"/>
        <v>1</v>
      </c>
      <c r="L246" s="38"/>
      <c r="M246" s="38"/>
      <c r="N246" s="38"/>
      <c r="O246" s="68">
        <f t="shared" si="59"/>
        <v>0</v>
      </c>
      <c r="P246" s="38"/>
      <c r="Q246" s="38"/>
      <c r="R246" s="39">
        <v>1</v>
      </c>
      <c r="S246" s="68">
        <f t="shared" si="56"/>
        <v>1</v>
      </c>
      <c r="T246" s="49">
        <v>3</v>
      </c>
    </row>
    <row r="247" spans="1:20" ht="27.75" thickBot="1" x14ac:dyDescent="0.3">
      <c r="A247" s="293"/>
      <c r="B247" s="296"/>
      <c r="C247" s="37" t="s">
        <v>64</v>
      </c>
      <c r="D247" s="38"/>
      <c r="E247" s="38"/>
      <c r="F247" s="38"/>
      <c r="G247" s="68">
        <f t="shared" si="57"/>
        <v>0</v>
      </c>
      <c r="H247" s="38"/>
      <c r="I247" s="38"/>
      <c r="J247" s="38"/>
      <c r="K247" s="68">
        <f t="shared" si="58"/>
        <v>0</v>
      </c>
      <c r="L247" s="38"/>
      <c r="M247" s="38"/>
      <c r="N247" s="38"/>
      <c r="O247" s="68">
        <f t="shared" si="59"/>
        <v>0</v>
      </c>
      <c r="P247" s="38"/>
      <c r="Q247" s="38"/>
      <c r="R247" s="38"/>
      <c r="S247" s="68">
        <f t="shared" si="56"/>
        <v>0</v>
      </c>
      <c r="T247" s="49">
        <v>0</v>
      </c>
    </row>
    <row r="248" spans="1:20" ht="15.75" thickBot="1" x14ac:dyDescent="0.3">
      <c r="A248" s="293"/>
      <c r="B248" s="296"/>
      <c r="C248" s="42" t="s">
        <v>65</v>
      </c>
      <c r="D248" s="38"/>
      <c r="E248" s="38"/>
      <c r="F248" s="38"/>
      <c r="G248" s="68">
        <f t="shared" si="57"/>
        <v>0</v>
      </c>
      <c r="H248" s="38"/>
      <c r="I248" s="38"/>
      <c r="J248" s="38"/>
      <c r="K248" s="68">
        <f t="shared" si="58"/>
        <v>0</v>
      </c>
      <c r="L248" s="38"/>
      <c r="M248" s="38"/>
      <c r="N248" s="38"/>
      <c r="O248" s="68">
        <f t="shared" si="59"/>
        <v>0</v>
      </c>
      <c r="P248" s="38"/>
      <c r="Q248" s="38"/>
      <c r="R248" s="38"/>
      <c r="S248" s="68">
        <f t="shared" si="56"/>
        <v>0</v>
      </c>
      <c r="T248" s="49">
        <v>0</v>
      </c>
    </row>
    <row r="249" spans="1:20" ht="15.75" thickBot="1" x14ac:dyDescent="0.3">
      <c r="A249" s="293"/>
      <c r="B249" s="296"/>
      <c r="C249" s="42" t="s">
        <v>66</v>
      </c>
      <c r="D249" s="38"/>
      <c r="E249" s="38"/>
      <c r="F249" s="38"/>
      <c r="G249" s="68">
        <f t="shared" si="57"/>
        <v>0</v>
      </c>
      <c r="H249" s="38"/>
      <c r="I249" s="38"/>
      <c r="J249" s="38"/>
      <c r="K249" s="68">
        <f t="shared" si="58"/>
        <v>0</v>
      </c>
      <c r="L249" s="38"/>
      <c r="M249" s="38"/>
      <c r="N249" s="38"/>
      <c r="O249" s="68">
        <f t="shared" si="59"/>
        <v>0</v>
      </c>
      <c r="P249" s="38"/>
      <c r="Q249" s="38"/>
      <c r="R249" s="38"/>
      <c r="S249" s="68">
        <f t="shared" si="56"/>
        <v>0</v>
      </c>
      <c r="T249" s="49">
        <v>0</v>
      </c>
    </row>
    <row r="250" spans="1:20" ht="18.75" thickBot="1" x14ac:dyDescent="0.3">
      <c r="A250" s="306"/>
      <c r="B250" s="310"/>
      <c r="C250" s="42" t="s">
        <v>67</v>
      </c>
      <c r="D250" s="38"/>
      <c r="E250" s="38"/>
      <c r="F250" s="38"/>
      <c r="G250" s="68">
        <f t="shared" si="57"/>
        <v>0</v>
      </c>
      <c r="H250" s="38"/>
      <c r="I250" s="38"/>
      <c r="J250" s="38"/>
      <c r="K250" s="68">
        <f t="shared" si="58"/>
        <v>0</v>
      </c>
      <c r="L250" s="38"/>
      <c r="M250" s="38"/>
      <c r="N250" s="38"/>
      <c r="O250" s="68">
        <f t="shared" si="59"/>
        <v>0</v>
      </c>
      <c r="P250" s="38"/>
      <c r="Q250" s="38"/>
      <c r="R250" s="38"/>
      <c r="S250" s="68">
        <f t="shared" si="56"/>
        <v>0</v>
      </c>
      <c r="T250" s="49">
        <v>0</v>
      </c>
    </row>
    <row r="251" spans="1:20" ht="15" customHeight="1" thickBot="1" x14ac:dyDescent="0.3">
      <c r="A251" s="71"/>
      <c r="B251" s="72"/>
      <c r="C251" s="72"/>
      <c r="D251" s="72"/>
      <c r="E251" s="72"/>
      <c r="F251" s="72"/>
      <c r="G251" s="73">
        <f>SUM(G239:G250)</f>
        <v>14</v>
      </c>
      <c r="H251" s="73"/>
      <c r="I251" s="73"/>
      <c r="J251" s="73"/>
      <c r="K251" s="73">
        <f>SUM(K240:K250)</f>
        <v>2</v>
      </c>
      <c r="L251" s="73"/>
      <c r="M251" s="73"/>
      <c r="N251" s="73"/>
      <c r="O251" s="73">
        <f>SUM(O239:O250)</f>
        <v>2</v>
      </c>
      <c r="P251" s="73"/>
      <c r="Q251" s="73"/>
      <c r="R251" s="74"/>
      <c r="S251" s="73">
        <f>SUM(S239:S250)</f>
        <v>8</v>
      </c>
      <c r="T251" s="63">
        <f>SUM(T239:T250)</f>
        <v>29</v>
      </c>
    </row>
    <row r="252" spans="1:20" ht="15.75" thickBot="1" x14ac:dyDescent="0.3">
      <c r="A252" s="292">
        <v>20</v>
      </c>
      <c r="B252" s="311" t="s">
        <v>35</v>
      </c>
      <c r="C252" s="37" t="s">
        <v>56</v>
      </c>
      <c r="D252" s="38"/>
      <c r="E252" s="38"/>
      <c r="F252" s="38"/>
      <c r="G252" s="68">
        <f t="shared" si="57"/>
        <v>0</v>
      </c>
      <c r="H252" s="38"/>
      <c r="I252" s="38"/>
      <c r="J252" s="38"/>
      <c r="K252" s="68">
        <f t="shared" ref="K252:K263" si="60">H252+I252+J252</f>
        <v>0</v>
      </c>
      <c r="L252" s="38"/>
      <c r="M252" s="38"/>
      <c r="N252" s="38"/>
      <c r="O252" s="68">
        <f t="shared" ref="O252:O263" si="61">L252+M252+N252</f>
        <v>0</v>
      </c>
      <c r="P252" s="38"/>
      <c r="Q252" s="38"/>
      <c r="R252" s="38"/>
      <c r="S252" s="68">
        <f t="shared" ref="S252:S263" si="62">P252+Q252+R252</f>
        <v>0</v>
      </c>
      <c r="T252" s="49">
        <v>0</v>
      </c>
    </row>
    <row r="253" spans="1:20" ht="18.75" thickBot="1" x14ac:dyDescent="0.3">
      <c r="A253" s="293"/>
      <c r="B253" s="312"/>
      <c r="C253" s="37" t="s">
        <v>57</v>
      </c>
      <c r="D253" s="38"/>
      <c r="E253" s="38"/>
      <c r="F253" s="38"/>
      <c r="G253" s="68">
        <f t="shared" si="57"/>
        <v>0</v>
      </c>
      <c r="H253" s="38"/>
      <c r="I253" s="38"/>
      <c r="J253" s="38"/>
      <c r="K253" s="68">
        <f t="shared" si="60"/>
        <v>0</v>
      </c>
      <c r="L253" s="38"/>
      <c r="M253" s="38"/>
      <c r="N253" s="38"/>
      <c r="O253" s="68">
        <f t="shared" si="61"/>
        <v>0</v>
      </c>
      <c r="P253" s="38"/>
      <c r="Q253" s="38"/>
      <c r="R253" s="38"/>
      <c r="S253" s="68">
        <f t="shared" si="62"/>
        <v>0</v>
      </c>
      <c r="T253" s="49">
        <v>0</v>
      </c>
    </row>
    <row r="254" spans="1:20" ht="18.75" thickBot="1" x14ac:dyDescent="0.3">
      <c r="A254" s="293"/>
      <c r="B254" s="312"/>
      <c r="C254" s="37" t="s">
        <v>58</v>
      </c>
      <c r="D254" s="44">
        <v>2</v>
      </c>
      <c r="E254" s="39">
        <v>4</v>
      </c>
      <c r="F254" s="39">
        <v>4</v>
      </c>
      <c r="G254" s="68">
        <f t="shared" si="57"/>
        <v>10</v>
      </c>
      <c r="H254" s="39">
        <v>2</v>
      </c>
      <c r="I254" s="39">
        <v>1</v>
      </c>
      <c r="J254" s="38"/>
      <c r="K254" s="68">
        <f t="shared" si="60"/>
        <v>3</v>
      </c>
      <c r="L254" s="38"/>
      <c r="M254" s="38"/>
      <c r="N254" s="38"/>
      <c r="O254" s="68">
        <f t="shared" si="61"/>
        <v>0</v>
      </c>
      <c r="P254" s="38"/>
      <c r="Q254" s="38"/>
      <c r="R254" s="38"/>
      <c r="S254" s="68">
        <f t="shared" si="62"/>
        <v>0</v>
      </c>
      <c r="T254" s="49">
        <v>13</v>
      </c>
    </row>
    <row r="255" spans="1:20" ht="18.75" thickBot="1" x14ac:dyDescent="0.3">
      <c r="A255" s="293"/>
      <c r="B255" s="312"/>
      <c r="C255" s="37" t="s">
        <v>59</v>
      </c>
      <c r="D255" s="38"/>
      <c r="E255" s="38"/>
      <c r="F255" s="38"/>
      <c r="G255" s="68">
        <f t="shared" si="57"/>
        <v>0</v>
      </c>
      <c r="H255" s="38"/>
      <c r="I255" s="38"/>
      <c r="J255" s="38"/>
      <c r="K255" s="68">
        <f t="shared" si="60"/>
        <v>0</v>
      </c>
      <c r="L255" s="38"/>
      <c r="M255" s="38"/>
      <c r="N255" s="38"/>
      <c r="O255" s="68">
        <f t="shared" si="61"/>
        <v>0</v>
      </c>
      <c r="P255" s="38"/>
      <c r="Q255" s="38"/>
      <c r="R255" s="38"/>
      <c r="S255" s="68">
        <f t="shared" si="62"/>
        <v>0</v>
      </c>
      <c r="T255" s="49">
        <v>0</v>
      </c>
    </row>
    <row r="256" spans="1:20" ht="18.75" thickBot="1" x14ac:dyDescent="0.3">
      <c r="A256" s="293"/>
      <c r="B256" s="312"/>
      <c r="C256" s="37" t="s">
        <v>60</v>
      </c>
      <c r="D256" s="38"/>
      <c r="E256" s="38"/>
      <c r="F256" s="38"/>
      <c r="G256" s="68">
        <f t="shared" si="57"/>
        <v>0</v>
      </c>
      <c r="H256" s="38"/>
      <c r="I256" s="38"/>
      <c r="J256" s="38"/>
      <c r="K256" s="68">
        <f t="shared" si="60"/>
        <v>0</v>
      </c>
      <c r="L256" s="38"/>
      <c r="M256" s="38"/>
      <c r="N256" s="38"/>
      <c r="O256" s="68">
        <f t="shared" si="61"/>
        <v>0</v>
      </c>
      <c r="P256" s="38"/>
      <c r="Q256" s="38"/>
      <c r="R256" s="38"/>
      <c r="S256" s="68">
        <f t="shared" si="62"/>
        <v>0</v>
      </c>
      <c r="T256" s="49">
        <v>0</v>
      </c>
    </row>
    <row r="257" spans="1:20" ht="18.75" thickBot="1" x14ac:dyDescent="0.3">
      <c r="A257" s="293"/>
      <c r="B257" s="312"/>
      <c r="C257" s="37" t="s">
        <v>61</v>
      </c>
      <c r="D257" s="38"/>
      <c r="E257" s="38"/>
      <c r="F257" s="38"/>
      <c r="G257" s="68">
        <f t="shared" si="57"/>
        <v>0</v>
      </c>
      <c r="H257" s="38"/>
      <c r="I257" s="38"/>
      <c r="J257" s="38"/>
      <c r="K257" s="68">
        <f t="shared" si="60"/>
        <v>0</v>
      </c>
      <c r="L257" s="38"/>
      <c r="M257" s="38"/>
      <c r="N257" s="38"/>
      <c r="O257" s="68">
        <f t="shared" si="61"/>
        <v>0</v>
      </c>
      <c r="P257" s="38"/>
      <c r="Q257" s="38"/>
      <c r="R257" s="38"/>
      <c r="S257" s="68">
        <f t="shared" si="62"/>
        <v>0</v>
      </c>
      <c r="T257" s="49">
        <v>0</v>
      </c>
    </row>
    <row r="258" spans="1:20" ht="18.75" thickBot="1" x14ac:dyDescent="0.3">
      <c r="A258" s="293"/>
      <c r="B258" s="312"/>
      <c r="C258" s="37" t="s">
        <v>62</v>
      </c>
      <c r="D258" s="44">
        <v>1</v>
      </c>
      <c r="E258" s="39">
        <v>2</v>
      </c>
      <c r="F258" s="38"/>
      <c r="G258" s="68">
        <f t="shared" si="57"/>
        <v>3</v>
      </c>
      <c r="H258" s="38"/>
      <c r="I258" s="38"/>
      <c r="J258" s="39">
        <v>2</v>
      </c>
      <c r="K258" s="68">
        <f t="shared" si="60"/>
        <v>2</v>
      </c>
      <c r="L258" s="38"/>
      <c r="M258" s="39">
        <v>1</v>
      </c>
      <c r="N258" s="44">
        <v>1</v>
      </c>
      <c r="O258" s="68">
        <f t="shared" si="61"/>
        <v>2</v>
      </c>
      <c r="P258" s="38"/>
      <c r="Q258" s="38"/>
      <c r="R258" s="39">
        <v>1</v>
      </c>
      <c r="S258" s="68">
        <f t="shared" si="62"/>
        <v>1</v>
      </c>
      <c r="T258" s="49">
        <v>8</v>
      </c>
    </row>
    <row r="259" spans="1:20" ht="18.75" thickBot="1" x14ac:dyDescent="0.3">
      <c r="A259" s="293"/>
      <c r="B259" s="312"/>
      <c r="C259" s="37" t="s">
        <v>63</v>
      </c>
      <c r="D259" s="38"/>
      <c r="E259" s="38"/>
      <c r="F259" s="38"/>
      <c r="G259" s="68">
        <f t="shared" si="57"/>
        <v>0</v>
      </c>
      <c r="H259" s="38"/>
      <c r="I259" s="38"/>
      <c r="J259" s="38"/>
      <c r="K259" s="68">
        <f t="shared" si="60"/>
        <v>0</v>
      </c>
      <c r="L259" s="38"/>
      <c r="M259" s="38"/>
      <c r="N259" s="38"/>
      <c r="O259" s="68">
        <f t="shared" si="61"/>
        <v>0</v>
      </c>
      <c r="P259" s="38"/>
      <c r="Q259" s="38"/>
      <c r="R259" s="39">
        <v>3</v>
      </c>
      <c r="S259" s="68">
        <f t="shared" si="62"/>
        <v>3</v>
      </c>
      <c r="T259" s="49">
        <v>3</v>
      </c>
    </row>
    <row r="260" spans="1:20" ht="27.75" thickBot="1" x14ac:dyDescent="0.3">
      <c r="A260" s="293"/>
      <c r="B260" s="312"/>
      <c r="C260" s="37" t="s">
        <v>64</v>
      </c>
      <c r="D260" s="38"/>
      <c r="E260" s="38"/>
      <c r="F260" s="38"/>
      <c r="G260" s="68">
        <f t="shared" si="57"/>
        <v>0</v>
      </c>
      <c r="H260" s="38"/>
      <c r="I260" s="38"/>
      <c r="J260" s="38"/>
      <c r="K260" s="68">
        <f t="shared" si="60"/>
        <v>0</v>
      </c>
      <c r="L260" s="38"/>
      <c r="M260" s="38"/>
      <c r="N260" s="38"/>
      <c r="O260" s="68">
        <f t="shared" si="61"/>
        <v>0</v>
      </c>
      <c r="P260" s="38"/>
      <c r="Q260" s="39">
        <v>1</v>
      </c>
      <c r="R260" s="38"/>
      <c r="S260" s="68">
        <f t="shared" si="62"/>
        <v>1</v>
      </c>
      <c r="T260" s="49">
        <v>1</v>
      </c>
    </row>
    <row r="261" spans="1:20" ht="15.75" thickBot="1" x14ac:dyDescent="0.3">
      <c r="A261" s="293"/>
      <c r="B261" s="312"/>
      <c r="C261" s="42" t="s">
        <v>65</v>
      </c>
      <c r="D261" s="38"/>
      <c r="E261" s="38"/>
      <c r="F261" s="38"/>
      <c r="G261" s="68">
        <f t="shared" si="57"/>
        <v>0</v>
      </c>
      <c r="H261" s="38"/>
      <c r="I261" s="38"/>
      <c r="J261" s="38"/>
      <c r="K261" s="68">
        <f t="shared" si="60"/>
        <v>0</v>
      </c>
      <c r="L261" s="38"/>
      <c r="M261" s="38"/>
      <c r="N261" s="38"/>
      <c r="O261" s="68">
        <f t="shared" si="61"/>
        <v>0</v>
      </c>
      <c r="P261" s="38"/>
      <c r="Q261" s="38"/>
      <c r="R261" s="38"/>
      <c r="S261" s="68">
        <f t="shared" si="62"/>
        <v>0</v>
      </c>
      <c r="T261" s="49">
        <v>0</v>
      </c>
    </row>
    <row r="262" spans="1:20" ht="15.75" thickBot="1" x14ac:dyDescent="0.3">
      <c r="A262" s="293"/>
      <c r="B262" s="312"/>
      <c r="C262" s="42" t="s">
        <v>66</v>
      </c>
      <c r="D262" s="38"/>
      <c r="E262" s="38"/>
      <c r="F262" s="38"/>
      <c r="G262" s="68">
        <f t="shared" si="57"/>
        <v>0</v>
      </c>
      <c r="H262" s="38"/>
      <c r="I262" s="38"/>
      <c r="J262" s="38"/>
      <c r="K262" s="68">
        <f t="shared" si="60"/>
        <v>0</v>
      </c>
      <c r="L262" s="38"/>
      <c r="M262" s="38"/>
      <c r="N262" s="38"/>
      <c r="O262" s="68">
        <f t="shared" si="61"/>
        <v>0</v>
      </c>
      <c r="P262" s="38"/>
      <c r="Q262" s="38"/>
      <c r="R262" s="38"/>
      <c r="S262" s="68">
        <f t="shared" si="62"/>
        <v>0</v>
      </c>
      <c r="T262" s="49">
        <v>0</v>
      </c>
    </row>
    <row r="263" spans="1:20" ht="18.75" thickBot="1" x14ac:dyDescent="0.3">
      <c r="A263" s="306"/>
      <c r="B263" s="313"/>
      <c r="C263" s="42" t="s">
        <v>67</v>
      </c>
      <c r="D263" s="38"/>
      <c r="E263" s="38"/>
      <c r="F263" s="38"/>
      <c r="G263" s="68">
        <f t="shared" si="57"/>
        <v>0</v>
      </c>
      <c r="H263" s="38"/>
      <c r="I263" s="38"/>
      <c r="J263" s="38"/>
      <c r="K263" s="68">
        <f t="shared" si="60"/>
        <v>0</v>
      </c>
      <c r="L263" s="38"/>
      <c r="M263" s="38"/>
      <c r="N263" s="38"/>
      <c r="O263" s="68">
        <f t="shared" si="61"/>
        <v>0</v>
      </c>
      <c r="P263" s="38"/>
      <c r="Q263" s="38"/>
      <c r="R263" s="38"/>
      <c r="S263" s="68">
        <f t="shared" si="62"/>
        <v>0</v>
      </c>
      <c r="T263" s="49">
        <v>0</v>
      </c>
    </row>
    <row r="264" spans="1:20" ht="15" customHeight="1" thickBot="1" x14ac:dyDescent="0.3">
      <c r="A264" s="71"/>
      <c r="B264" s="72"/>
      <c r="C264" s="72"/>
      <c r="D264" s="72"/>
      <c r="E264" s="72"/>
      <c r="F264" s="72"/>
      <c r="G264" s="73">
        <f>SUM(G252:G263)</f>
        <v>13</v>
      </c>
      <c r="H264" s="73"/>
      <c r="I264" s="73"/>
      <c r="J264" s="73"/>
      <c r="K264" s="73">
        <f>SUM(K253:K263)</f>
        <v>5</v>
      </c>
      <c r="L264" s="73"/>
      <c r="M264" s="73"/>
      <c r="N264" s="73"/>
      <c r="O264" s="73">
        <f>SUM(O252:O263)</f>
        <v>2</v>
      </c>
      <c r="P264" s="73"/>
      <c r="Q264" s="73"/>
      <c r="R264" s="74"/>
      <c r="S264" s="73">
        <f>SUM(S252:S263)</f>
        <v>5</v>
      </c>
      <c r="T264" s="63">
        <f>SUM(T252:T263)</f>
        <v>25</v>
      </c>
    </row>
    <row r="265" spans="1:20" ht="15.75" thickBot="1" x14ac:dyDescent="0.3">
      <c r="A265" s="292">
        <v>21</v>
      </c>
      <c r="B265" s="295" t="s">
        <v>39</v>
      </c>
      <c r="C265" s="37" t="s">
        <v>56</v>
      </c>
      <c r="D265" s="43"/>
      <c r="E265" s="43"/>
      <c r="F265" s="43"/>
      <c r="G265" s="68">
        <f t="shared" si="57"/>
        <v>0</v>
      </c>
      <c r="H265" s="39">
        <v>1</v>
      </c>
      <c r="I265" s="39">
        <v>1</v>
      </c>
      <c r="J265" s="43"/>
      <c r="K265" s="68">
        <f t="shared" ref="K265:K276" si="63">H265+I265+J265</f>
        <v>2</v>
      </c>
      <c r="L265" s="43"/>
      <c r="M265" s="43"/>
      <c r="N265" s="43"/>
      <c r="O265" s="68">
        <f t="shared" ref="O265:O276" si="64">L265+M265+N265</f>
        <v>0</v>
      </c>
      <c r="P265" s="43"/>
      <c r="Q265" s="43"/>
      <c r="R265" s="43"/>
      <c r="S265" s="68">
        <f t="shared" ref="S265:S276" si="65">P265+Q265+R265</f>
        <v>0</v>
      </c>
      <c r="T265" s="49">
        <v>2</v>
      </c>
    </row>
    <row r="266" spans="1:20" ht="18.75" thickBot="1" x14ac:dyDescent="0.3">
      <c r="A266" s="293"/>
      <c r="B266" s="296"/>
      <c r="C266" s="37" t="s">
        <v>57</v>
      </c>
      <c r="D266" s="38"/>
      <c r="E266" s="38"/>
      <c r="F266" s="38"/>
      <c r="G266" s="68">
        <f t="shared" si="57"/>
        <v>0</v>
      </c>
      <c r="H266" s="38"/>
      <c r="I266" s="38"/>
      <c r="J266" s="38"/>
      <c r="K266" s="68">
        <f t="shared" si="63"/>
        <v>0</v>
      </c>
      <c r="L266" s="38"/>
      <c r="M266" s="38"/>
      <c r="N266" s="38"/>
      <c r="O266" s="68">
        <f t="shared" si="64"/>
        <v>0</v>
      </c>
      <c r="P266" s="38"/>
      <c r="Q266" s="38"/>
      <c r="R266" s="38"/>
      <c r="S266" s="68">
        <f t="shared" si="65"/>
        <v>0</v>
      </c>
      <c r="T266" s="49">
        <v>0</v>
      </c>
    </row>
    <row r="267" spans="1:20" ht="18.75" thickBot="1" x14ac:dyDescent="0.3">
      <c r="A267" s="293"/>
      <c r="B267" s="296"/>
      <c r="C267" s="37" t="s">
        <v>58</v>
      </c>
      <c r="D267" s="38"/>
      <c r="E267" s="38"/>
      <c r="F267" s="38"/>
      <c r="G267" s="68">
        <f t="shared" si="57"/>
        <v>0</v>
      </c>
      <c r="H267" s="39">
        <v>2</v>
      </c>
      <c r="I267" s="38"/>
      <c r="J267" s="38"/>
      <c r="K267" s="68">
        <f t="shared" si="63"/>
        <v>2</v>
      </c>
      <c r="L267" s="38"/>
      <c r="M267" s="38"/>
      <c r="N267" s="38"/>
      <c r="O267" s="68">
        <f t="shared" si="64"/>
        <v>0</v>
      </c>
      <c r="P267" s="38"/>
      <c r="Q267" s="38"/>
      <c r="R267" s="38"/>
      <c r="S267" s="68">
        <f t="shared" si="65"/>
        <v>0</v>
      </c>
      <c r="T267" s="49">
        <v>2</v>
      </c>
    </row>
    <row r="268" spans="1:20" ht="18.75" thickBot="1" x14ac:dyDescent="0.3">
      <c r="A268" s="293"/>
      <c r="B268" s="296"/>
      <c r="C268" s="37" t="s">
        <v>59</v>
      </c>
      <c r="D268" s="38"/>
      <c r="E268" s="38"/>
      <c r="F268" s="38"/>
      <c r="G268" s="68">
        <f t="shared" si="57"/>
        <v>0</v>
      </c>
      <c r="H268" s="38"/>
      <c r="I268" s="38"/>
      <c r="J268" s="38"/>
      <c r="K268" s="68">
        <f t="shared" si="63"/>
        <v>0</v>
      </c>
      <c r="L268" s="38"/>
      <c r="M268" s="38"/>
      <c r="N268" s="38"/>
      <c r="O268" s="68">
        <f t="shared" si="64"/>
        <v>0</v>
      </c>
      <c r="P268" s="38"/>
      <c r="Q268" s="38"/>
      <c r="R268" s="38"/>
      <c r="S268" s="68">
        <f t="shared" si="65"/>
        <v>0</v>
      </c>
      <c r="T268" s="49">
        <v>0</v>
      </c>
    </row>
    <row r="269" spans="1:20" ht="18.75" thickBot="1" x14ac:dyDescent="0.3">
      <c r="A269" s="293"/>
      <c r="B269" s="296"/>
      <c r="C269" s="37" t="s">
        <v>60</v>
      </c>
      <c r="D269" s="38"/>
      <c r="E269" s="38"/>
      <c r="F269" s="38"/>
      <c r="G269" s="68">
        <f t="shared" si="57"/>
        <v>0</v>
      </c>
      <c r="H269" s="38"/>
      <c r="I269" s="38"/>
      <c r="J269" s="38"/>
      <c r="K269" s="68">
        <f t="shared" si="63"/>
        <v>0</v>
      </c>
      <c r="L269" s="38"/>
      <c r="M269" s="38"/>
      <c r="N269" s="38"/>
      <c r="O269" s="68">
        <f t="shared" si="64"/>
        <v>0</v>
      </c>
      <c r="P269" s="38"/>
      <c r="Q269" s="38"/>
      <c r="R269" s="38"/>
      <c r="S269" s="68">
        <f t="shared" si="65"/>
        <v>0</v>
      </c>
      <c r="T269" s="49">
        <v>0</v>
      </c>
    </row>
    <row r="270" spans="1:20" ht="18.75" thickBot="1" x14ac:dyDescent="0.3">
      <c r="A270" s="293"/>
      <c r="B270" s="296"/>
      <c r="C270" s="37" t="s">
        <v>61</v>
      </c>
      <c r="D270" s="44">
        <v>1</v>
      </c>
      <c r="E270" s="38"/>
      <c r="F270" s="38"/>
      <c r="G270" s="68">
        <f t="shared" si="57"/>
        <v>1</v>
      </c>
      <c r="H270" s="38"/>
      <c r="I270" s="38"/>
      <c r="J270" s="38"/>
      <c r="K270" s="68">
        <f t="shared" si="63"/>
        <v>0</v>
      </c>
      <c r="L270" s="39">
        <v>1</v>
      </c>
      <c r="M270" s="38"/>
      <c r="N270" s="38"/>
      <c r="O270" s="68">
        <f t="shared" si="64"/>
        <v>1</v>
      </c>
      <c r="P270" s="38"/>
      <c r="Q270" s="39">
        <v>1</v>
      </c>
      <c r="R270" s="38"/>
      <c r="S270" s="68">
        <f t="shared" si="65"/>
        <v>1</v>
      </c>
      <c r="T270" s="49">
        <v>3</v>
      </c>
    </row>
    <row r="271" spans="1:20" ht="18.75" thickBot="1" x14ac:dyDescent="0.3">
      <c r="A271" s="293"/>
      <c r="B271" s="296"/>
      <c r="C271" s="37" t="s">
        <v>62</v>
      </c>
      <c r="D271" s="38"/>
      <c r="E271" s="39">
        <v>1</v>
      </c>
      <c r="F271" s="38"/>
      <c r="G271" s="68">
        <f t="shared" si="57"/>
        <v>1</v>
      </c>
      <c r="H271" s="38"/>
      <c r="I271" s="38"/>
      <c r="J271" s="38"/>
      <c r="K271" s="68">
        <f t="shared" si="63"/>
        <v>0</v>
      </c>
      <c r="L271" s="39">
        <v>2</v>
      </c>
      <c r="M271" s="39">
        <v>2</v>
      </c>
      <c r="N271" s="44">
        <v>2</v>
      </c>
      <c r="O271" s="68">
        <f t="shared" si="64"/>
        <v>6</v>
      </c>
      <c r="P271" s="39">
        <v>2</v>
      </c>
      <c r="Q271" s="38"/>
      <c r="R271" s="39">
        <v>1</v>
      </c>
      <c r="S271" s="68">
        <f t="shared" si="65"/>
        <v>3</v>
      </c>
      <c r="T271" s="49">
        <v>10</v>
      </c>
    </row>
    <row r="272" spans="1:20" ht="18.75" thickBot="1" x14ac:dyDescent="0.3">
      <c r="A272" s="293"/>
      <c r="B272" s="296"/>
      <c r="C272" s="37" t="s">
        <v>63</v>
      </c>
      <c r="D272" s="44">
        <v>1</v>
      </c>
      <c r="E272" s="38"/>
      <c r="F272" s="38"/>
      <c r="G272" s="68">
        <f t="shared" si="57"/>
        <v>1</v>
      </c>
      <c r="H272" s="38"/>
      <c r="I272" s="38"/>
      <c r="J272" s="38"/>
      <c r="K272" s="68">
        <f t="shared" si="63"/>
        <v>0</v>
      </c>
      <c r="L272" s="38"/>
      <c r="M272" s="38"/>
      <c r="N272" s="38"/>
      <c r="O272" s="68">
        <f t="shared" si="64"/>
        <v>0</v>
      </c>
      <c r="P272" s="38"/>
      <c r="Q272" s="39">
        <v>1</v>
      </c>
      <c r="R272" s="38"/>
      <c r="S272" s="68">
        <f t="shared" si="65"/>
        <v>1</v>
      </c>
      <c r="T272" s="49">
        <v>2</v>
      </c>
    </row>
    <row r="273" spans="1:20" ht="27.75" thickBot="1" x14ac:dyDescent="0.3">
      <c r="A273" s="293"/>
      <c r="B273" s="296"/>
      <c r="C273" s="37" t="s">
        <v>64</v>
      </c>
      <c r="D273" s="38"/>
      <c r="E273" s="38"/>
      <c r="F273" s="38"/>
      <c r="G273" s="68">
        <f t="shared" si="57"/>
        <v>0</v>
      </c>
      <c r="H273" s="38"/>
      <c r="I273" s="38"/>
      <c r="J273" s="38"/>
      <c r="K273" s="68">
        <f t="shared" si="63"/>
        <v>0</v>
      </c>
      <c r="L273" s="38"/>
      <c r="M273" s="38"/>
      <c r="N273" s="38"/>
      <c r="O273" s="68">
        <f t="shared" si="64"/>
        <v>0</v>
      </c>
      <c r="P273" s="38"/>
      <c r="Q273" s="38"/>
      <c r="R273" s="38"/>
      <c r="S273" s="68">
        <f t="shared" si="65"/>
        <v>0</v>
      </c>
      <c r="T273" s="49">
        <v>0</v>
      </c>
    </row>
    <row r="274" spans="1:20" ht="15.75" thickBot="1" x14ac:dyDescent="0.3">
      <c r="A274" s="293"/>
      <c r="B274" s="296"/>
      <c r="C274" s="42" t="s">
        <v>65</v>
      </c>
      <c r="D274" s="38"/>
      <c r="E274" s="38"/>
      <c r="F274" s="38"/>
      <c r="G274" s="68">
        <f t="shared" si="57"/>
        <v>0</v>
      </c>
      <c r="H274" s="38"/>
      <c r="I274" s="38"/>
      <c r="J274" s="38"/>
      <c r="K274" s="68">
        <f t="shared" si="63"/>
        <v>0</v>
      </c>
      <c r="L274" s="38"/>
      <c r="M274" s="38"/>
      <c r="N274" s="38"/>
      <c r="O274" s="68">
        <f t="shared" si="64"/>
        <v>0</v>
      </c>
      <c r="P274" s="38"/>
      <c r="Q274" s="38"/>
      <c r="R274" s="38"/>
      <c r="S274" s="68">
        <f t="shared" si="65"/>
        <v>0</v>
      </c>
      <c r="T274" s="49">
        <v>0</v>
      </c>
    </row>
    <row r="275" spans="1:20" ht="15.75" thickBot="1" x14ac:dyDescent="0.3">
      <c r="A275" s="293"/>
      <c r="B275" s="296"/>
      <c r="C275" s="42" t="s">
        <v>66</v>
      </c>
      <c r="D275" s="38"/>
      <c r="E275" s="38"/>
      <c r="F275" s="38"/>
      <c r="G275" s="68">
        <f t="shared" si="57"/>
        <v>0</v>
      </c>
      <c r="H275" s="38"/>
      <c r="I275" s="38"/>
      <c r="J275" s="38"/>
      <c r="K275" s="68">
        <f t="shared" si="63"/>
        <v>0</v>
      </c>
      <c r="L275" s="38"/>
      <c r="M275" s="38"/>
      <c r="N275" s="38"/>
      <c r="O275" s="68">
        <f t="shared" si="64"/>
        <v>0</v>
      </c>
      <c r="P275" s="38"/>
      <c r="Q275" s="38"/>
      <c r="R275" s="38"/>
      <c r="S275" s="68">
        <f t="shared" si="65"/>
        <v>0</v>
      </c>
      <c r="T275" s="49">
        <v>0</v>
      </c>
    </row>
    <row r="276" spans="1:20" ht="18.75" thickBot="1" x14ac:dyDescent="0.3">
      <c r="A276" s="306"/>
      <c r="B276" s="310"/>
      <c r="C276" s="42" t="s">
        <v>67</v>
      </c>
      <c r="D276" s="38"/>
      <c r="E276" s="38"/>
      <c r="F276" s="38"/>
      <c r="G276" s="68">
        <f t="shared" si="57"/>
        <v>0</v>
      </c>
      <c r="H276" s="38"/>
      <c r="I276" s="38"/>
      <c r="J276" s="38"/>
      <c r="K276" s="68">
        <f t="shared" si="63"/>
        <v>0</v>
      </c>
      <c r="L276" s="38"/>
      <c r="M276" s="38"/>
      <c r="N276" s="38"/>
      <c r="O276" s="68">
        <f t="shared" si="64"/>
        <v>0</v>
      </c>
      <c r="P276" s="38"/>
      <c r="Q276" s="38"/>
      <c r="R276" s="38"/>
      <c r="S276" s="68">
        <f t="shared" si="65"/>
        <v>0</v>
      </c>
      <c r="T276" s="49">
        <v>0</v>
      </c>
    </row>
    <row r="277" spans="1:20" ht="15" customHeight="1" thickBot="1" x14ac:dyDescent="0.3">
      <c r="A277" s="71"/>
      <c r="B277" s="72"/>
      <c r="C277" s="72"/>
      <c r="D277" s="72"/>
      <c r="E277" s="72"/>
      <c r="F277" s="72"/>
      <c r="G277" s="73">
        <f>SUM(G265:G276)</f>
        <v>3</v>
      </c>
      <c r="H277" s="73"/>
      <c r="I277" s="73"/>
      <c r="J277" s="73"/>
      <c r="K277" s="73">
        <f>SUM(K266:K276)</f>
        <v>2</v>
      </c>
      <c r="L277" s="73"/>
      <c r="M277" s="73"/>
      <c r="N277" s="73"/>
      <c r="O277" s="73">
        <f>SUM(O265:O276)</f>
        <v>7</v>
      </c>
      <c r="P277" s="73"/>
      <c r="Q277" s="73"/>
      <c r="R277" s="74"/>
      <c r="S277" s="73">
        <f>SUM(S265:S276)</f>
        <v>5</v>
      </c>
      <c r="T277" s="63">
        <f>SUM(T265:T276)</f>
        <v>19</v>
      </c>
    </row>
    <row r="278" spans="1:20" ht="15.75" thickBot="1" x14ac:dyDescent="0.3">
      <c r="A278" s="292">
        <v>22</v>
      </c>
      <c r="B278" s="295" t="s">
        <v>27</v>
      </c>
      <c r="C278" s="37" t="s">
        <v>56</v>
      </c>
      <c r="D278" s="38"/>
      <c r="E278" s="39">
        <v>4</v>
      </c>
      <c r="F278" s="38"/>
      <c r="G278" s="68">
        <f t="shared" si="57"/>
        <v>4</v>
      </c>
      <c r="H278" s="38"/>
      <c r="I278" s="38"/>
      <c r="J278" s="38"/>
      <c r="K278" s="68">
        <f t="shared" ref="K278:K289" si="66">H278+I278+J278</f>
        <v>0</v>
      </c>
      <c r="L278" s="38"/>
      <c r="M278" s="38"/>
      <c r="N278" s="38"/>
      <c r="O278" s="68">
        <f t="shared" ref="O278:O289" si="67">L278+M278+N278</f>
        <v>0</v>
      </c>
      <c r="P278" s="38"/>
      <c r="Q278" s="38"/>
      <c r="R278" s="38"/>
      <c r="S278" s="68">
        <f t="shared" ref="S278:S289" si="68">P278+Q278+R278</f>
        <v>0</v>
      </c>
      <c r="T278" s="49">
        <v>4</v>
      </c>
    </row>
    <row r="279" spans="1:20" ht="18.75" thickBot="1" x14ac:dyDescent="0.3">
      <c r="A279" s="293"/>
      <c r="B279" s="296"/>
      <c r="C279" s="37" t="s">
        <v>57</v>
      </c>
      <c r="D279" s="38"/>
      <c r="E279" s="38"/>
      <c r="F279" s="38"/>
      <c r="G279" s="68">
        <f t="shared" si="57"/>
        <v>0</v>
      </c>
      <c r="H279" s="38"/>
      <c r="I279" s="38"/>
      <c r="J279" s="38"/>
      <c r="K279" s="68">
        <f t="shared" si="66"/>
        <v>0</v>
      </c>
      <c r="L279" s="38"/>
      <c r="M279" s="38"/>
      <c r="N279" s="38"/>
      <c r="O279" s="68">
        <f t="shared" si="67"/>
        <v>0</v>
      </c>
      <c r="P279" s="38"/>
      <c r="Q279" s="38"/>
      <c r="R279" s="38"/>
      <c r="S279" s="68">
        <f t="shared" si="68"/>
        <v>0</v>
      </c>
      <c r="T279" s="49">
        <v>0</v>
      </c>
    </row>
    <row r="280" spans="1:20" ht="18.75" thickBot="1" x14ac:dyDescent="0.3">
      <c r="A280" s="304"/>
      <c r="B280" s="304"/>
      <c r="C280" s="46" t="s">
        <v>58</v>
      </c>
      <c r="D280" s="52">
        <v>2</v>
      </c>
      <c r="E280" s="53">
        <v>5</v>
      </c>
      <c r="F280" s="47"/>
      <c r="G280" s="68">
        <f t="shared" si="57"/>
        <v>7</v>
      </c>
      <c r="H280" s="47"/>
      <c r="I280" s="47"/>
      <c r="J280" s="47"/>
      <c r="K280" s="68">
        <f t="shared" si="66"/>
        <v>0</v>
      </c>
      <c r="L280" s="53">
        <v>1</v>
      </c>
      <c r="M280" s="47"/>
      <c r="N280" s="47"/>
      <c r="O280" s="68">
        <f t="shared" si="67"/>
        <v>1</v>
      </c>
      <c r="P280" s="47"/>
      <c r="Q280" s="47"/>
      <c r="R280" s="47"/>
      <c r="S280" s="68">
        <f t="shared" si="68"/>
        <v>0</v>
      </c>
      <c r="T280" s="54">
        <v>8</v>
      </c>
    </row>
    <row r="281" spans="1:20" ht="18.75" thickBot="1" x14ac:dyDescent="0.3">
      <c r="A281" s="304"/>
      <c r="B281" s="304"/>
      <c r="C281" s="37" t="s">
        <v>59</v>
      </c>
      <c r="D281" s="38"/>
      <c r="E281" s="38"/>
      <c r="F281" s="38"/>
      <c r="G281" s="68">
        <f t="shared" si="57"/>
        <v>0</v>
      </c>
      <c r="H281" s="38"/>
      <c r="I281" s="38"/>
      <c r="J281" s="38"/>
      <c r="K281" s="68">
        <f t="shared" si="66"/>
        <v>0</v>
      </c>
      <c r="L281" s="38"/>
      <c r="M281" s="38"/>
      <c r="N281" s="38"/>
      <c r="O281" s="68">
        <f t="shared" si="67"/>
        <v>0</v>
      </c>
      <c r="P281" s="38"/>
      <c r="Q281" s="38"/>
      <c r="R281" s="38"/>
      <c r="S281" s="68">
        <f t="shared" si="68"/>
        <v>0</v>
      </c>
      <c r="T281" s="40">
        <v>0</v>
      </c>
    </row>
    <row r="282" spans="1:20" ht="18.75" thickBot="1" x14ac:dyDescent="0.3">
      <c r="A282" s="304"/>
      <c r="B282" s="304"/>
      <c r="C282" s="37" t="s">
        <v>60</v>
      </c>
      <c r="D282" s="38"/>
      <c r="E282" s="38"/>
      <c r="F282" s="38"/>
      <c r="G282" s="68">
        <f t="shared" si="57"/>
        <v>0</v>
      </c>
      <c r="H282" s="38"/>
      <c r="I282" s="38"/>
      <c r="J282" s="38"/>
      <c r="K282" s="68">
        <f t="shared" si="66"/>
        <v>0</v>
      </c>
      <c r="L282" s="38"/>
      <c r="M282" s="38"/>
      <c r="N282" s="38"/>
      <c r="O282" s="68">
        <f t="shared" si="67"/>
        <v>0</v>
      </c>
      <c r="P282" s="38"/>
      <c r="Q282" s="38"/>
      <c r="R282" s="38"/>
      <c r="S282" s="68">
        <f t="shared" si="68"/>
        <v>0</v>
      </c>
      <c r="T282" s="40">
        <v>0</v>
      </c>
    </row>
    <row r="283" spans="1:20" ht="18.75" thickBot="1" x14ac:dyDescent="0.3">
      <c r="A283" s="304"/>
      <c r="B283" s="304"/>
      <c r="C283" s="37" t="s">
        <v>61</v>
      </c>
      <c r="D283" s="38"/>
      <c r="E283" s="38"/>
      <c r="F283" s="38"/>
      <c r="G283" s="68">
        <f t="shared" si="57"/>
        <v>0</v>
      </c>
      <c r="H283" s="38"/>
      <c r="I283" s="38"/>
      <c r="J283" s="38"/>
      <c r="K283" s="68">
        <f t="shared" si="66"/>
        <v>0</v>
      </c>
      <c r="L283" s="38"/>
      <c r="M283" s="38"/>
      <c r="N283" s="38"/>
      <c r="O283" s="68">
        <f t="shared" si="67"/>
        <v>0</v>
      </c>
      <c r="P283" s="38"/>
      <c r="Q283" s="38"/>
      <c r="R283" s="38"/>
      <c r="S283" s="68">
        <f t="shared" si="68"/>
        <v>0</v>
      </c>
      <c r="T283" s="40">
        <v>0</v>
      </c>
    </row>
    <row r="284" spans="1:20" ht="18.75" thickBot="1" x14ac:dyDescent="0.3">
      <c r="A284" s="304"/>
      <c r="B284" s="304"/>
      <c r="C284" s="37" t="s">
        <v>62</v>
      </c>
      <c r="D284" s="44">
        <v>1</v>
      </c>
      <c r="E284" s="38"/>
      <c r="F284" s="38"/>
      <c r="G284" s="68">
        <f t="shared" si="57"/>
        <v>1</v>
      </c>
      <c r="H284" s="38"/>
      <c r="I284" s="38"/>
      <c r="J284" s="39">
        <v>1</v>
      </c>
      <c r="K284" s="68">
        <f t="shared" si="66"/>
        <v>1</v>
      </c>
      <c r="L284" s="39">
        <v>4</v>
      </c>
      <c r="M284" s="39">
        <v>2</v>
      </c>
      <c r="N284" s="39">
        <v>2</v>
      </c>
      <c r="O284" s="68">
        <f t="shared" si="67"/>
        <v>8</v>
      </c>
      <c r="P284" s="39">
        <v>1</v>
      </c>
      <c r="Q284" s="44">
        <v>1</v>
      </c>
      <c r="R284" s="38"/>
      <c r="S284" s="68">
        <f t="shared" si="68"/>
        <v>2</v>
      </c>
      <c r="T284" s="40">
        <v>12</v>
      </c>
    </row>
    <row r="285" spans="1:20" ht="18.75" thickBot="1" x14ac:dyDescent="0.3">
      <c r="A285" s="304"/>
      <c r="B285" s="304"/>
      <c r="C285" s="37" t="s">
        <v>63</v>
      </c>
      <c r="D285" s="44">
        <v>6</v>
      </c>
      <c r="E285" s="38"/>
      <c r="F285" s="38"/>
      <c r="G285" s="68">
        <f t="shared" si="57"/>
        <v>6</v>
      </c>
      <c r="H285" s="44">
        <v>4</v>
      </c>
      <c r="I285" s="39">
        <v>1</v>
      </c>
      <c r="J285" s="39">
        <v>2</v>
      </c>
      <c r="K285" s="68">
        <f t="shared" si="66"/>
        <v>7</v>
      </c>
      <c r="L285" s="39">
        <v>3</v>
      </c>
      <c r="M285" s="39">
        <v>21</v>
      </c>
      <c r="N285" s="39">
        <v>3</v>
      </c>
      <c r="O285" s="68">
        <f t="shared" si="67"/>
        <v>27</v>
      </c>
      <c r="P285" s="38"/>
      <c r="Q285" s="44">
        <v>1</v>
      </c>
      <c r="R285" s="44">
        <v>2</v>
      </c>
      <c r="S285" s="68">
        <f t="shared" si="68"/>
        <v>3</v>
      </c>
      <c r="T285" s="40">
        <v>43</v>
      </c>
    </row>
    <row r="286" spans="1:20" ht="27.75" thickBot="1" x14ac:dyDescent="0.3">
      <c r="A286" s="304"/>
      <c r="B286" s="304"/>
      <c r="C286" s="37" t="s">
        <v>64</v>
      </c>
      <c r="D286" s="38"/>
      <c r="E286" s="38"/>
      <c r="F286" s="38"/>
      <c r="G286" s="68">
        <f t="shared" si="57"/>
        <v>0</v>
      </c>
      <c r="H286" s="38"/>
      <c r="I286" s="38"/>
      <c r="J286" s="38"/>
      <c r="K286" s="68">
        <f t="shared" si="66"/>
        <v>0</v>
      </c>
      <c r="L286" s="38"/>
      <c r="M286" s="38"/>
      <c r="N286" s="38"/>
      <c r="O286" s="68">
        <f t="shared" si="67"/>
        <v>0</v>
      </c>
      <c r="P286" s="38"/>
      <c r="Q286" s="38"/>
      <c r="R286" s="38"/>
      <c r="S286" s="68">
        <f t="shared" si="68"/>
        <v>0</v>
      </c>
      <c r="T286" s="40">
        <v>0</v>
      </c>
    </row>
    <row r="287" spans="1:20" ht="15.75" thickBot="1" x14ac:dyDescent="0.3">
      <c r="A287" s="304"/>
      <c r="B287" s="304"/>
      <c r="C287" s="42" t="s">
        <v>65</v>
      </c>
      <c r="D287" s="38"/>
      <c r="E287" s="38"/>
      <c r="F287" s="38"/>
      <c r="G287" s="68">
        <f t="shared" si="57"/>
        <v>0</v>
      </c>
      <c r="H287" s="38"/>
      <c r="I287" s="38"/>
      <c r="J287" s="38"/>
      <c r="K287" s="68">
        <f t="shared" si="66"/>
        <v>0</v>
      </c>
      <c r="L287" s="38"/>
      <c r="M287" s="38"/>
      <c r="N287" s="38"/>
      <c r="O287" s="68">
        <f t="shared" si="67"/>
        <v>0</v>
      </c>
      <c r="P287" s="38"/>
      <c r="Q287" s="38"/>
      <c r="R287" s="38"/>
      <c r="S287" s="68">
        <f t="shared" si="68"/>
        <v>0</v>
      </c>
      <c r="T287" s="40">
        <v>0</v>
      </c>
    </row>
    <row r="288" spans="1:20" ht="15.75" thickBot="1" x14ac:dyDescent="0.3">
      <c r="A288" s="304"/>
      <c r="B288" s="304"/>
      <c r="C288" s="42" t="s">
        <v>66</v>
      </c>
      <c r="D288" s="38"/>
      <c r="E288" s="38"/>
      <c r="F288" s="38"/>
      <c r="G288" s="68">
        <f t="shared" si="57"/>
        <v>0</v>
      </c>
      <c r="H288" s="38"/>
      <c r="I288" s="38"/>
      <c r="J288" s="38"/>
      <c r="K288" s="68">
        <f t="shared" si="66"/>
        <v>0</v>
      </c>
      <c r="L288" s="38"/>
      <c r="M288" s="38"/>
      <c r="N288" s="38"/>
      <c r="O288" s="68">
        <f t="shared" si="67"/>
        <v>0</v>
      </c>
      <c r="P288" s="38"/>
      <c r="Q288" s="38"/>
      <c r="R288" s="38"/>
      <c r="S288" s="68">
        <f t="shared" si="68"/>
        <v>0</v>
      </c>
      <c r="T288" s="40">
        <v>0</v>
      </c>
    </row>
    <row r="289" spans="1:20" ht="18.75" thickBot="1" x14ac:dyDescent="0.3">
      <c r="A289" s="305"/>
      <c r="B289" s="305"/>
      <c r="C289" s="42" t="s">
        <v>67</v>
      </c>
      <c r="D289" s="38"/>
      <c r="E289" s="38"/>
      <c r="F289" s="38"/>
      <c r="G289" s="68">
        <f t="shared" si="57"/>
        <v>0</v>
      </c>
      <c r="H289" s="38"/>
      <c r="I289" s="38"/>
      <c r="J289" s="38"/>
      <c r="K289" s="68">
        <f t="shared" si="66"/>
        <v>0</v>
      </c>
      <c r="L289" s="38"/>
      <c r="M289" s="38"/>
      <c r="N289" s="38"/>
      <c r="O289" s="68">
        <f t="shared" si="67"/>
        <v>0</v>
      </c>
      <c r="P289" s="38"/>
      <c r="Q289" s="38"/>
      <c r="R289" s="38"/>
      <c r="S289" s="68">
        <f t="shared" si="68"/>
        <v>0</v>
      </c>
      <c r="T289" s="40">
        <v>0</v>
      </c>
    </row>
    <row r="290" spans="1:20" ht="15" customHeight="1" thickBot="1" x14ac:dyDescent="0.3">
      <c r="A290" s="71"/>
      <c r="B290" s="72"/>
      <c r="C290" s="72"/>
      <c r="D290" s="72"/>
      <c r="E290" s="72"/>
      <c r="F290" s="72"/>
      <c r="G290" s="73">
        <f>SUM(G278:G289)</f>
        <v>18</v>
      </c>
      <c r="H290" s="73"/>
      <c r="I290" s="73"/>
      <c r="J290" s="73"/>
      <c r="K290" s="73">
        <f>SUM(K279:K289)</f>
        <v>8</v>
      </c>
      <c r="L290" s="73"/>
      <c r="M290" s="73"/>
      <c r="N290" s="73"/>
      <c r="O290" s="73">
        <f>SUM(O278:O289)</f>
        <v>36</v>
      </c>
      <c r="P290" s="73"/>
      <c r="Q290" s="73"/>
      <c r="R290" s="74"/>
      <c r="S290" s="73">
        <f>SUM(S278:S289)</f>
        <v>5</v>
      </c>
      <c r="T290" s="63">
        <f>SUM(T278:T289)</f>
        <v>67</v>
      </c>
    </row>
    <row r="291" spans="1:20" ht="15.75" thickBot="1" x14ac:dyDescent="0.3">
      <c r="A291" s="292">
        <v>23</v>
      </c>
      <c r="B291" s="307" t="s">
        <v>37</v>
      </c>
      <c r="C291" s="37" t="s">
        <v>56</v>
      </c>
      <c r="D291" s="38"/>
      <c r="E291" s="38"/>
      <c r="F291" s="44">
        <v>1</v>
      </c>
      <c r="G291" s="68">
        <f t="shared" si="57"/>
        <v>1</v>
      </c>
      <c r="H291" s="38"/>
      <c r="I291" s="39">
        <v>1</v>
      </c>
      <c r="J291" s="38"/>
      <c r="K291" s="68">
        <f t="shared" ref="K291:K302" si="69">H291+I291+J291</f>
        <v>1</v>
      </c>
      <c r="L291" s="38"/>
      <c r="M291" s="38"/>
      <c r="N291" s="38"/>
      <c r="O291" s="68">
        <f t="shared" ref="O291:O302" si="70">L291+M291+N291</f>
        <v>0</v>
      </c>
      <c r="P291" s="39">
        <v>1</v>
      </c>
      <c r="Q291" s="38"/>
      <c r="R291" s="38"/>
      <c r="S291" s="68">
        <f t="shared" ref="S291:S302" si="71">P291+Q291+R291</f>
        <v>1</v>
      </c>
      <c r="T291" s="40">
        <v>3</v>
      </c>
    </row>
    <row r="292" spans="1:20" ht="18.75" thickBot="1" x14ac:dyDescent="0.3">
      <c r="A292" s="293"/>
      <c r="B292" s="308"/>
      <c r="C292" s="37" t="s">
        <v>57</v>
      </c>
      <c r="D292" s="38"/>
      <c r="E292" s="38"/>
      <c r="F292" s="38"/>
      <c r="G292" s="68">
        <f t="shared" ref="G292:G315" si="72">D292+E292+F292</f>
        <v>0</v>
      </c>
      <c r="H292" s="38"/>
      <c r="I292" s="38"/>
      <c r="J292" s="38"/>
      <c r="K292" s="68">
        <f t="shared" si="69"/>
        <v>0</v>
      </c>
      <c r="L292" s="38"/>
      <c r="M292" s="38"/>
      <c r="N292" s="38"/>
      <c r="O292" s="68">
        <f t="shared" si="70"/>
        <v>0</v>
      </c>
      <c r="P292" s="38"/>
      <c r="Q292" s="38"/>
      <c r="R292" s="38"/>
      <c r="S292" s="68">
        <f t="shared" si="71"/>
        <v>0</v>
      </c>
      <c r="T292" s="40">
        <v>0</v>
      </c>
    </row>
    <row r="293" spans="1:20" ht="18.75" thickBot="1" x14ac:dyDescent="0.3">
      <c r="A293" s="293"/>
      <c r="B293" s="308"/>
      <c r="C293" s="37" t="s">
        <v>58</v>
      </c>
      <c r="D293" s="38"/>
      <c r="E293" s="38"/>
      <c r="F293" s="38"/>
      <c r="G293" s="68">
        <f t="shared" si="72"/>
        <v>0</v>
      </c>
      <c r="H293" s="38"/>
      <c r="I293" s="39">
        <v>4</v>
      </c>
      <c r="J293" s="38"/>
      <c r="K293" s="68">
        <f t="shared" si="69"/>
        <v>4</v>
      </c>
      <c r="L293" s="38"/>
      <c r="M293" s="38"/>
      <c r="N293" s="38"/>
      <c r="O293" s="68">
        <f t="shared" si="70"/>
        <v>0</v>
      </c>
      <c r="P293" s="38"/>
      <c r="Q293" s="38"/>
      <c r="R293" s="38"/>
      <c r="S293" s="68">
        <f t="shared" si="71"/>
        <v>0</v>
      </c>
      <c r="T293" s="40">
        <v>4</v>
      </c>
    </row>
    <row r="294" spans="1:20" ht="18.75" thickBot="1" x14ac:dyDescent="0.3">
      <c r="A294" s="293"/>
      <c r="B294" s="308"/>
      <c r="C294" s="37" t="s">
        <v>59</v>
      </c>
      <c r="D294" s="38"/>
      <c r="E294" s="38"/>
      <c r="F294" s="38"/>
      <c r="G294" s="68">
        <f t="shared" si="72"/>
        <v>0</v>
      </c>
      <c r="H294" s="38"/>
      <c r="I294" s="38"/>
      <c r="J294" s="38"/>
      <c r="K294" s="68">
        <f t="shared" si="69"/>
        <v>0</v>
      </c>
      <c r="L294" s="38"/>
      <c r="M294" s="38"/>
      <c r="N294" s="38"/>
      <c r="O294" s="68">
        <f t="shared" si="70"/>
        <v>0</v>
      </c>
      <c r="P294" s="38"/>
      <c r="Q294" s="38"/>
      <c r="R294" s="38"/>
      <c r="S294" s="68">
        <f t="shared" si="71"/>
        <v>0</v>
      </c>
      <c r="T294" s="40">
        <v>0</v>
      </c>
    </row>
    <row r="295" spans="1:20" ht="18.75" thickBot="1" x14ac:dyDescent="0.3">
      <c r="A295" s="293"/>
      <c r="B295" s="308"/>
      <c r="C295" s="37" t="s">
        <v>60</v>
      </c>
      <c r="D295" s="38"/>
      <c r="E295" s="38"/>
      <c r="F295" s="38"/>
      <c r="G295" s="68">
        <f t="shared" si="72"/>
        <v>0</v>
      </c>
      <c r="H295" s="38"/>
      <c r="I295" s="38"/>
      <c r="J295" s="38"/>
      <c r="K295" s="68">
        <f t="shared" si="69"/>
        <v>0</v>
      </c>
      <c r="L295" s="38"/>
      <c r="M295" s="38"/>
      <c r="N295" s="38"/>
      <c r="O295" s="68">
        <f t="shared" si="70"/>
        <v>0</v>
      </c>
      <c r="P295" s="38"/>
      <c r="Q295" s="38"/>
      <c r="R295" s="38"/>
      <c r="S295" s="68">
        <f t="shared" si="71"/>
        <v>0</v>
      </c>
      <c r="T295" s="40">
        <v>0</v>
      </c>
    </row>
    <row r="296" spans="1:20" ht="18.75" thickBot="1" x14ac:dyDescent="0.3">
      <c r="A296" s="293"/>
      <c r="B296" s="308"/>
      <c r="C296" s="37" t="s">
        <v>61</v>
      </c>
      <c r="D296" s="38"/>
      <c r="E296" s="38"/>
      <c r="F296" s="38"/>
      <c r="G296" s="68">
        <f t="shared" si="72"/>
        <v>0</v>
      </c>
      <c r="H296" s="38"/>
      <c r="I296" s="38"/>
      <c r="J296" s="38"/>
      <c r="K296" s="68">
        <f t="shared" si="69"/>
        <v>0</v>
      </c>
      <c r="L296" s="38"/>
      <c r="M296" s="38"/>
      <c r="N296" s="38"/>
      <c r="O296" s="68">
        <f t="shared" si="70"/>
        <v>0</v>
      </c>
      <c r="P296" s="38"/>
      <c r="Q296" s="38"/>
      <c r="R296" s="38"/>
      <c r="S296" s="68">
        <f t="shared" si="71"/>
        <v>0</v>
      </c>
      <c r="T296" s="40">
        <v>0</v>
      </c>
    </row>
    <row r="297" spans="1:20" ht="18.75" thickBot="1" x14ac:dyDescent="0.3">
      <c r="A297" s="293"/>
      <c r="B297" s="308"/>
      <c r="C297" s="37" t="s">
        <v>62</v>
      </c>
      <c r="D297" s="44">
        <v>1</v>
      </c>
      <c r="E297" s="39">
        <v>2</v>
      </c>
      <c r="F297" s="38"/>
      <c r="G297" s="68">
        <f t="shared" si="72"/>
        <v>3</v>
      </c>
      <c r="H297" s="44">
        <v>1</v>
      </c>
      <c r="I297" s="39">
        <v>1</v>
      </c>
      <c r="J297" s="39">
        <v>2</v>
      </c>
      <c r="K297" s="68">
        <f t="shared" si="69"/>
        <v>4</v>
      </c>
      <c r="L297" s="38"/>
      <c r="M297" s="39">
        <v>1</v>
      </c>
      <c r="N297" s="39">
        <v>2</v>
      </c>
      <c r="O297" s="68">
        <f t="shared" si="70"/>
        <v>3</v>
      </c>
      <c r="P297" s="39">
        <v>2</v>
      </c>
      <c r="Q297" s="44">
        <v>1</v>
      </c>
      <c r="R297" s="44">
        <v>1</v>
      </c>
      <c r="S297" s="68">
        <f t="shared" si="71"/>
        <v>4</v>
      </c>
      <c r="T297" s="40">
        <v>14</v>
      </c>
    </row>
    <row r="298" spans="1:20" ht="18.75" thickBot="1" x14ac:dyDescent="0.3">
      <c r="A298" s="293"/>
      <c r="B298" s="308"/>
      <c r="C298" s="37" t="s">
        <v>63</v>
      </c>
      <c r="D298" s="38"/>
      <c r="E298" s="38"/>
      <c r="F298" s="38"/>
      <c r="G298" s="68">
        <f t="shared" si="72"/>
        <v>0</v>
      </c>
      <c r="H298" s="38"/>
      <c r="I298" s="38"/>
      <c r="J298" s="38"/>
      <c r="K298" s="68">
        <f t="shared" si="69"/>
        <v>0</v>
      </c>
      <c r="L298" s="38"/>
      <c r="M298" s="38"/>
      <c r="N298" s="38"/>
      <c r="O298" s="68">
        <f t="shared" si="70"/>
        <v>0</v>
      </c>
      <c r="P298" s="38"/>
      <c r="Q298" s="38"/>
      <c r="R298" s="38"/>
      <c r="S298" s="68">
        <f t="shared" si="71"/>
        <v>0</v>
      </c>
      <c r="T298" s="40">
        <v>0</v>
      </c>
    </row>
    <row r="299" spans="1:20" ht="27.75" thickBot="1" x14ac:dyDescent="0.3">
      <c r="A299" s="293"/>
      <c r="B299" s="308"/>
      <c r="C299" s="37" t="s">
        <v>64</v>
      </c>
      <c r="D299" s="38"/>
      <c r="E299" s="38"/>
      <c r="F299" s="38"/>
      <c r="G299" s="68">
        <f t="shared" si="72"/>
        <v>0</v>
      </c>
      <c r="H299" s="38"/>
      <c r="I299" s="38"/>
      <c r="J299" s="38"/>
      <c r="K299" s="68">
        <f t="shared" si="69"/>
        <v>0</v>
      </c>
      <c r="L299" s="38"/>
      <c r="M299" s="38"/>
      <c r="N299" s="38"/>
      <c r="O299" s="68">
        <f t="shared" si="70"/>
        <v>0</v>
      </c>
      <c r="P299" s="38"/>
      <c r="Q299" s="38"/>
      <c r="R299" s="38"/>
      <c r="S299" s="68">
        <f t="shared" si="71"/>
        <v>0</v>
      </c>
      <c r="T299" s="40">
        <v>0</v>
      </c>
    </row>
    <row r="300" spans="1:20" ht="15.75" thickBot="1" x14ac:dyDescent="0.3">
      <c r="A300" s="293"/>
      <c r="B300" s="308"/>
      <c r="C300" s="42" t="s">
        <v>65</v>
      </c>
      <c r="D300" s="38"/>
      <c r="E300" s="38"/>
      <c r="F300" s="38"/>
      <c r="G300" s="68">
        <f t="shared" si="72"/>
        <v>0</v>
      </c>
      <c r="H300" s="38"/>
      <c r="I300" s="38"/>
      <c r="J300" s="38"/>
      <c r="K300" s="68">
        <f t="shared" si="69"/>
        <v>0</v>
      </c>
      <c r="L300" s="38"/>
      <c r="M300" s="38"/>
      <c r="N300" s="38"/>
      <c r="O300" s="68">
        <f t="shared" si="70"/>
        <v>0</v>
      </c>
      <c r="P300" s="38"/>
      <c r="Q300" s="38"/>
      <c r="R300" s="38"/>
      <c r="S300" s="68">
        <f t="shared" si="71"/>
        <v>0</v>
      </c>
      <c r="T300" s="40">
        <v>0</v>
      </c>
    </row>
    <row r="301" spans="1:20" ht="15.75" thickBot="1" x14ac:dyDescent="0.3">
      <c r="A301" s="293"/>
      <c r="B301" s="308"/>
      <c r="C301" s="42" t="s">
        <v>66</v>
      </c>
      <c r="D301" s="38"/>
      <c r="E301" s="38"/>
      <c r="F301" s="38"/>
      <c r="G301" s="68">
        <f t="shared" si="72"/>
        <v>0</v>
      </c>
      <c r="H301" s="38"/>
      <c r="I301" s="38"/>
      <c r="J301" s="38"/>
      <c r="K301" s="68">
        <f t="shared" si="69"/>
        <v>0</v>
      </c>
      <c r="L301" s="38"/>
      <c r="M301" s="38"/>
      <c r="N301" s="38"/>
      <c r="O301" s="68">
        <f t="shared" si="70"/>
        <v>0</v>
      </c>
      <c r="P301" s="39">
        <v>5</v>
      </c>
      <c r="Q301" s="38"/>
      <c r="R301" s="38"/>
      <c r="S301" s="68">
        <f t="shared" si="71"/>
        <v>5</v>
      </c>
      <c r="T301" s="40">
        <v>5</v>
      </c>
    </row>
    <row r="302" spans="1:20" ht="18.75" thickBot="1" x14ac:dyDescent="0.3">
      <c r="A302" s="306"/>
      <c r="B302" s="309"/>
      <c r="C302" s="42" t="s">
        <v>67</v>
      </c>
      <c r="D302" s="38"/>
      <c r="E302" s="38"/>
      <c r="F302" s="38"/>
      <c r="G302" s="68">
        <f t="shared" si="72"/>
        <v>0</v>
      </c>
      <c r="H302" s="38"/>
      <c r="I302" s="38"/>
      <c r="J302" s="38"/>
      <c r="K302" s="68">
        <f t="shared" si="69"/>
        <v>0</v>
      </c>
      <c r="L302" s="38"/>
      <c r="M302" s="38"/>
      <c r="N302" s="38"/>
      <c r="O302" s="68">
        <f t="shared" si="70"/>
        <v>0</v>
      </c>
      <c r="P302" s="38"/>
      <c r="Q302" s="38"/>
      <c r="R302" s="38"/>
      <c r="S302" s="68">
        <f t="shared" si="71"/>
        <v>0</v>
      </c>
      <c r="T302" s="40">
        <v>0</v>
      </c>
    </row>
    <row r="303" spans="1:20" ht="15" customHeight="1" thickBot="1" x14ac:dyDescent="0.3">
      <c r="A303" s="71"/>
      <c r="B303" s="72"/>
      <c r="C303" s="72"/>
      <c r="D303" s="72"/>
      <c r="E303" s="72"/>
      <c r="F303" s="72"/>
      <c r="G303" s="73">
        <f>SUM(G291:G302)</f>
        <v>4</v>
      </c>
      <c r="H303" s="73"/>
      <c r="I303" s="73"/>
      <c r="J303" s="73"/>
      <c r="K303" s="73">
        <f>SUM(K292:K302)</f>
        <v>8</v>
      </c>
      <c r="L303" s="73"/>
      <c r="M303" s="73"/>
      <c r="N303" s="73"/>
      <c r="O303" s="73">
        <f>SUM(O291:O302)</f>
        <v>3</v>
      </c>
      <c r="P303" s="73"/>
      <c r="Q303" s="73"/>
      <c r="R303" s="74"/>
      <c r="S303" s="73">
        <f>SUM(S291:S302)</f>
        <v>10</v>
      </c>
      <c r="T303" s="63">
        <f>SUM(T291:T302)</f>
        <v>26</v>
      </c>
    </row>
    <row r="304" spans="1:20" ht="15.75" thickBot="1" x14ac:dyDescent="0.3">
      <c r="A304" s="292">
        <v>24</v>
      </c>
      <c r="B304" s="295" t="s">
        <v>23</v>
      </c>
      <c r="C304" s="37" t="s">
        <v>56</v>
      </c>
      <c r="D304" s="44">
        <v>1</v>
      </c>
      <c r="E304" s="39">
        <v>1</v>
      </c>
      <c r="F304" s="43"/>
      <c r="G304" s="68">
        <f t="shared" si="72"/>
        <v>2</v>
      </c>
      <c r="H304" s="43"/>
      <c r="I304" s="43"/>
      <c r="J304" s="43"/>
      <c r="K304" s="68">
        <f t="shared" ref="K304:K315" si="73">H304+I304+J304</f>
        <v>0</v>
      </c>
      <c r="L304" s="43"/>
      <c r="M304" s="43"/>
      <c r="N304" s="43"/>
      <c r="O304" s="68">
        <f t="shared" ref="O304:O315" si="74">L304+M304+N304</f>
        <v>0</v>
      </c>
      <c r="P304" s="43"/>
      <c r="Q304" s="43"/>
      <c r="R304" s="43"/>
      <c r="S304" s="68">
        <f t="shared" ref="S304:S315" si="75">P304+Q304+R304</f>
        <v>0</v>
      </c>
      <c r="T304" s="40">
        <v>2</v>
      </c>
    </row>
    <row r="305" spans="1:20" ht="18.75" thickBot="1" x14ac:dyDescent="0.3">
      <c r="A305" s="293"/>
      <c r="B305" s="296"/>
      <c r="C305" s="37" t="s">
        <v>57</v>
      </c>
      <c r="D305" s="43"/>
      <c r="E305" s="43"/>
      <c r="F305" s="43"/>
      <c r="G305" s="68">
        <f t="shared" si="72"/>
        <v>0</v>
      </c>
      <c r="H305" s="43"/>
      <c r="I305" s="43"/>
      <c r="J305" s="43"/>
      <c r="K305" s="68">
        <f t="shared" si="73"/>
        <v>0</v>
      </c>
      <c r="L305" s="43"/>
      <c r="M305" s="43"/>
      <c r="N305" s="43"/>
      <c r="O305" s="68">
        <f t="shared" si="74"/>
        <v>0</v>
      </c>
      <c r="P305" s="43"/>
      <c r="Q305" s="43"/>
      <c r="R305" s="43"/>
      <c r="S305" s="68">
        <f t="shared" si="75"/>
        <v>0</v>
      </c>
      <c r="T305" s="40">
        <v>0</v>
      </c>
    </row>
    <row r="306" spans="1:20" ht="18.75" thickBot="1" x14ac:dyDescent="0.3">
      <c r="A306" s="293"/>
      <c r="B306" s="296"/>
      <c r="C306" s="37" t="s">
        <v>58</v>
      </c>
      <c r="D306" s="43"/>
      <c r="E306" s="43"/>
      <c r="F306" s="43"/>
      <c r="G306" s="68">
        <f t="shared" si="72"/>
        <v>0</v>
      </c>
      <c r="H306" s="43"/>
      <c r="I306" s="43"/>
      <c r="J306" s="43"/>
      <c r="K306" s="68">
        <f t="shared" si="73"/>
        <v>0</v>
      </c>
      <c r="L306" s="43"/>
      <c r="M306" s="43"/>
      <c r="N306" s="43"/>
      <c r="O306" s="68">
        <f t="shared" si="74"/>
        <v>0</v>
      </c>
      <c r="P306" s="43"/>
      <c r="Q306" s="43"/>
      <c r="R306" s="43"/>
      <c r="S306" s="68">
        <f t="shared" si="75"/>
        <v>0</v>
      </c>
      <c r="T306" s="40">
        <v>0</v>
      </c>
    </row>
    <row r="307" spans="1:20" ht="18.75" thickBot="1" x14ac:dyDescent="0.3">
      <c r="A307" s="293"/>
      <c r="B307" s="296"/>
      <c r="C307" s="37" t="s">
        <v>59</v>
      </c>
      <c r="D307" s="43"/>
      <c r="E307" s="43"/>
      <c r="F307" s="43"/>
      <c r="G307" s="68">
        <f t="shared" si="72"/>
        <v>0</v>
      </c>
      <c r="H307" s="43"/>
      <c r="I307" s="43"/>
      <c r="J307" s="43"/>
      <c r="K307" s="68">
        <f t="shared" si="73"/>
        <v>0</v>
      </c>
      <c r="L307" s="43"/>
      <c r="M307" s="43"/>
      <c r="N307" s="43"/>
      <c r="O307" s="68">
        <f t="shared" si="74"/>
        <v>0</v>
      </c>
      <c r="P307" s="43"/>
      <c r="Q307" s="43"/>
      <c r="R307" s="43"/>
      <c r="S307" s="68">
        <f t="shared" si="75"/>
        <v>0</v>
      </c>
      <c r="T307" s="40">
        <v>0</v>
      </c>
    </row>
    <row r="308" spans="1:20" ht="18.75" thickBot="1" x14ac:dyDescent="0.3">
      <c r="A308" s="293"/>
      <c r="B308" s="296"/>
      <c r="C308" s="37" t="s">
        <v>60</v>
      </c>
      <c r="D308" s="43"/>
      <c r="E308" s="43"/>
      <c r="F308" s="43"/>
      <c r="G308" s="68">
        <f t="shared" si="72"/>
        <v>0</v>
      </c>
      <c r="H308" s="43"/>
      <c r="I308" s="43"/>
      <c r="J308" s="43"/>
      <c r="K308" s="68">
        <f t="shared" si="73"/>
        <v>0</v>
      </c>
      <c r="L308" s="43"/>
      <c r="M308" s="43"/>
      <c r="N308" s="43"/>
      <c r="O308" s="68">
        <f t="shared" si="74"/>
        <v>0</v>
      </c>
      <c r="P308" s="43"/>
      <c r="Q308" s="43"/>
      <c r="R308" s="43"/>
      <c r="S308" s="68">
        <f t="shared" si="75"/>
        <v>0</v>
      </c>
      <c r="T308" s="40">
        <v>0</v>
      </c>
    </row>
    <row r="309" spans="1:20" ht="18.75" thickBot="1" x14ac:dyDescent="0.3">
      <c r="A309" s="293"/>
      <c r="B309" s="296"/>
      <c r="C309" s="37" t="s">
        <v>61</v>
      </c>
      <c r="D309" s="43"/>
      <c r="E309" s="43"/>
      <c r="F309" s="43"/>
      <c r="G309" s="68">
        <f t="shared" si="72"/>
        <v>0</v>
      </c>
      <c r="H309" s="43"/>
      <c r="I309" s="43"/>
      <c r="J309" s="43"/>
      <c r="K309" s="68">
        <f t="shared" si="73"/>
        <v>0</v>
      </c>
      <c r="L309" s="43"/>
      <c r="M309" s="43"/>
      <c r="N309" s="43"/>
      <c r="O309" s="68">
        <f t="shared" si="74"/>
        <v>0</v>
      </c>
      <c r="P309" s="43"/>
      <c r="Q309" s="43"/>
      <c r="R309" s="43"/>
      <c r="S309" s="68">
        <f t="shared" si="75"/>
        <v>0</v>
      </c>
      <c r="T309" s="40">
        <v>0</v>
      </c>
    </row>
    <row r="310" spans="1:20" ht="18.75" thickBot="1" x14ac:dyDescent="0.3">
      <c r="A310" s="293"/>
      <c r="B310" s="296"/>
      <c r="C310" s="37" t="s">
        <v>62</v>
      </c>
      <c r="D310" s="44">
        <v>2</v>
      </c>
      <c r="E310" s="43"/>
      <c r="F310" s="44">
        <v>2</v>
      </c>
      <c r="G310" s="68">
        <f t="shared" si="72"/>
        <v>4</v>
      </c>
      <c r="H310" s="44">
        <v>2</v>
      </c>
      <c r="I310" s="43"/>
      <c r="J310" s="39">
        <v>4</v>
      </c>
      <c r="K310" s="68">
        <f t="shared" si="73"/>
        <v>6</v>
      </c>
      <c r="L310" s="43"/>
      <c r="M310" s="39">
        <v>2</v>
      </c>
      <c r="N310" s="39">
        <v>3</v>
      </c>
      <c r="O310" s="68">
        <f t="shared" si="74"/>
        <v>5</v>
      </c>
      <c r="P310" s="39">
        <v>7</v>
      </c>
      <c r="Q310" s="44">
        <v>1</v>
      </c>
      <c r="R310" s="44">
        <v>1</v>
      </c>
      <c r="S310" s="68">
        <f t="shared" si="75"/>
        <v>9</v>
      </c>
      <c r="T310" s="40">
        <v>24</v>
      </c>
    </row>
    <row r="311" spans="1:20" ht="18.75" thickBot="1" x14ac:dyDescent="0.3">
      <c r="A311" s="293"/>
      <c r="B311" s="296"/>
      <c r="C311" s="37" t="s">
        <v>63</v>
      </c>
      <c r="D311" s="44">
        <v>1</v>
      </c>
      <c r="E311" s="43"/>
      <c r="F311" s="43"/>
      <c r="G311" s="68">
        <f t="shared" si="72"/>
        <v>1</v>
      </c>
      <c r="H311" s="43"/>
      <c r="I311" s="43"/>
      <c r="J311" s="43"/>
      <c r="K311" s="68">
        <f t="shared" si="73"/>
        <v>0</v>
      </c>
      <c r="L311" s="43"/>
      <c r="M311" s="43"/>
      <c r="N311" s="43"/>
      <c r="O311" s="68">
        <f t="shared" si="74"/>
        <v>0</v>
      </c>
      <c r="P311" s="43"/>
      <c r="Q311" s="43"/>
      <c r="R311" s="43"/>
      <c r="S311" s="68">
        <f t="shared" si="75"/>
        <v>0</v>
      </c>
      <c r="T311" s="40">
        <v>1</v>
      </c>
    </row>
    <row r="312" spans="1:20" ht="27.75" thickBot="1" x14ac:dyDescent="0.3">
      <c r="A312" s="293"/>
      <c r="B312" s="296"/>
      <c r="C312" s="37" t="s">
        <v>64</v>
      </c>
      <c r="D312" s="43"/>
      <c r="E312" s="43"/>
      <c r="F312" s="43"/>
      <c r="G312" s="68">
        <f t="shared" si="72"/>
        <v>0</v>
      </c>
      <c r="H312" s="43"/>
      <c r="I312" s="43"/>
      <c r="J312" s="43"/>
      <c r="K312" s="68">
        <f t="shared" si="73"/>
        <v>0</v>
      </c>
      <c r="L312" s="43"/>
      <c r="M312" s="43"/>
      <c r="N312" s="43"/>
      <c r="O312" s="68">
        <f t="shared" si="74"/>
        <v>0</v>
      </c>
      <c r="P312" s="43"/>
      <c r="Q312" s="43"/>
      <c r="R312" s="43"/>
      <c r="S312" s="68">
        <f t="shared" si="75"/>
        <v>0</v>
      </c>
      <c r="T312" s="40">
        <v>0</v>
      </c>
    </row>
    <row r="313" spans="1:20" ht="15.75" thickBot="1" x14ac:dyDescent="0.3">
      <c r="A313" s="293"/>
      <c r="B313" s="296"/>
      <c r="C313" s="42" t="s">
        <v>65</v>
      </c>
      <c r="D313" s="43"/>
      <c r="E313" s="43"/>
      <c r="F313" s="43"/>
      <c r="G313" s="68">
        <f t="shared" si="72"/>
        <v>0</v>
      </c>
      <c r="H313" s="43"/>
      <c r="I313" s="43"/>
      <c r="J313" s="43"/>
      <c r="K313" s="68">
        <f t="shared" si="73"/>
        <v>0</v>
      </c>
      <c r="L313" s="43"/>
      <c r="M313" s="43"/>
      <c r="N313" s="43"/>
      <c r="O313" s="68">
        <f t="shared" si="74"/>
        <v>0</v>
      </c>
      <c r="P313" s="43"/>
      <c r="Q313" s="43"/>
      <c r="R313" s="43"/>
      <c r="S313" s="68">
        <f t="shared" si="75"/>
        <v>0</v>
      </c>
      <c r="T313" s="40">
        <v>0</v>
      </c>
    </row>
    <row r="314" spans="1:20" ht="15.75" thickBot="1" x14ac:dyDescent="0.3">
      <c r="A314" s="293"/>
      <c r="B314" s="296"/>
      <c r="C314" s="42" t="s">
        <v>66</v>
      </c>
      <c r="D314" s="43"/>
      <c r="E314" s="43"/>
      <c r="F314" s="43"/>
      <c r="G314" s="68">
        <f t="shared" si="72"/>
        <v>0</v>
      </c>
      <c r="H314" s="43"/>
      <c r="I314" s="43"/>
      <c r="J314" s="43"/>
      <c r="K314" s="68">
        <f t="shared" si="73"/>
        <v>0</v>
      </c>
      <c r="L314" s="43"/>
      <c r="M314" s="43"/>
      <c r="N314" s="43"/>
      <c r="O314" s="68">
        <f t="shared" si="74"/>
        <v>0</v>
      </c>
      <c r="P314" s="43"/>
      <c r="Q314" s="43"/>
      <c r="R314" s="43"/>
      <c r="S314" s="68">
        <f t="shared" si="75"/>
        <v>0</v>
      </c>
      <c r="T314" s="40">
        <v>0</v>
      </c>
    </row>
    <row r="315" spans="1:20" ht="18.75" thickBot="1" x14ac:dyDescent="0.3">
      <c r="A315" s="294"/>
      <c r="B315" s="297"/>
      <c r="C315" s="55" t="s">
        <v>67</v>
      </c>
      <c r="D315" s="56"/>
      <c r="E315" s="56"/>
      <c r="F315" s="56"/>
      <c r="G315" s="68">
        <f t="shared" si="72"/>
        <v>0</v>
      </c>
      <c r="H315" s="56"/>
      <c r="I315" s="56"/>
      <c r="J315" s="56"/>
      <c r="K315" s="68">
        <f t="shared" si="73"/>
        <v>0</v>
      </c>
      <c r="L315" s="56"/>
      <c r="M315" s="56"/>
      <c r="N315" s="57">
        <v>3</v>
      </c>
      <c r="O315" s="68">
        <f t="shared" si="74"/>
        <v>3</v>
      </c>
      <c r="P315" s="57">
        <v>1</v>
      </c>
      <c r="Q315" s="58">
        <v>1</v>
      </c>
      <c r="R315" s="56"/>
      <c r="S315" s="68">
        <f t="shared" si="75"/>
        <v>2</v>
      </c>
      <c r="T315" s="59">
        <v>5</v>
      </c>
    </row>
    <row r="316" spans="1:20" ht="15" customHeight="1" thickTop="1" thickBot="1" x14ac:dyDescent="0.3">
      <c r="A316" s="71"/>
      <c r="B316" s="72"/>
      <c r="C316" s="72"/>
      <c r="D316" s="72"/>
      <c r="E316" s="72"/>
      <c r="F316" s="72"/>
      <c r="G316" s="73">
        <f>SUM(G304:G315)</f>
        <v>7</v>
      </c>
      <c r="H316" s="73"/>
      <c r="I316" s="73"/>
      <c r="J316" s="73"/>
      <c r="K316" s="73">
        <f>SUM(K305:K315)</f>
        <v>6</v>
      </c>
      <c r="L316" s="73"/>
      <c r="M316" s="73"/>
      <c r="N316" s="73"/>
      <c r="O316" s="73">
        <f>SUM(O304:O315)</f>
        <v>8</v>
      </c>
      <c r="P316" s="73"/>
      <c r="Q316" s="73"/>
      <c r="R316" s="74"/>
      <c r="S316" s="73">
        <f>SUM(S304:S315)</f>
        <v>11</v>
      </c>
      <c r="T316" s="63">
        <f>SUM(T304:T315)</f>
        <v>32</v>
      </c>
    </row>
    <row r="317" spans="1:20" ht="16.5" thickTop="1" thickBot="1" x14ac:dyDescent="0.3">
      <c r="A317" s="298" t="s">
        <v>15</v>
      </c>
      <c r="B317" s="299"/>
      <c r="C317" s="300"/>
      <c r="D317" s="60">
        <v>73</v>
      </c>
      <c r="E317" s="61">
        <v>118</v>
      </c>
      <c r="F317" s="60">
        <v>53</v>
      </c>
      <c r="G317" s="70"/>
      <c r="H317" s="60">
        <v>57</v>
      </c>
      <c r="I317" s="61">
        <v>58</v>
      </c>
      <c r="J317" s="61">
        <v>47</v>
      </c>
      <c r="K317" s="61"/>
      <c r="L317" s="61">
        <v>58</v>
      </c>
      <c r="M317" s="61">
        <v>87</v>
      </c>
      <c r="N317" s="61">
        <v>155</v>
      </c>
      <c r="O317" s="61"/>
      <c r="P317" s="61">
        <v>171</v>
      </c>
      <c r="Q317" s="60">
        <v>60</v>
      </c>
      <c r="R317" s="60">
        <v>43</v>
      </c>
      <c r="S317" s="60"/>
      <c r="T317" s="61">
        <v>980</v>
      </c>
    </row>
    <row r="318" spans="1:20" ht="15.75" thickTop="1" x14ac:dyDescent="0.25">
      <c r="A318" s="62"/>
    </row>
    <row r="319" spans="1:20" x14ac:dyDescent="0.25">
      <c r="G319" s="69">
        <f>G316+G303+G290+G277+G264+G251+G238+G225+G212+G199+G186+G173+G160+G147+G134+G121+G108+G95+G82+G69+G56+G43+G30+G17</f>
        <v>244</v>
      </c>
      <c r="K319" s="69">
        <f>K316+K303+K290+K277+K264+K251+K238+K225+K212+K199+K186+K173+K160+K147+K134+K121+K108+K95+K82+K69+K56+K43+K30+K17</f>
        <v>137</v>
      </c>
      <c r="O319" s="69">
        <f>O316+O303+O290+O277+O264+O251+O238+O225+O212+O199+O186+O173+O160+O147+O134+O121+O108+O95+O82+O69+O56+O43+O30+O17</f>
        <v>300</v>
      </c>
      <c r="S319" s="69">
        <f>S316+S303+S290+S277+S264+S251+S238+S225+S212+S199+S186+S173+S160+S147+S134+S121+S108+S95+S82+S69+S56+S43+S30+S17</f>
        <v>274</v>
      </c>
    </row>
  </sheetData>
  <mergeCells count="57">
    <mergeCell ref="A304:A315"/>
    <mergeCell ref="B304:B315"/>
    <mergeCell ref="A317:C317"/>
    <mergeCell ref="A278:A279"/>
    <mergeCell ref="B278:B279"/>
    <mergeCell ref="A280:A289"/>
    <mergeCell ref="B280:B289"/>
    <mergeCell ref="A291:A302"/>
    <mergeCell ref="B291:B302"/>
    <mergeCell ref="A239:A250"/>
    <mergeCell ref="B239:B250"/>
    <mergeCell ref="A252:A263"/>
    <mergeCell ref="B252:B263"/>
    <mergeCell ref="A265:A276"/>
    <mergeCell ref="B265:B276"/>
    <mergeCell ref="A200:A211"/>
    <mergeCell ref="B200:B211"/>
    <mergeCell ref="A213:A224"/>
    <mergeCell ref="B213:B224"/>
    <mergeCell ref="A226:A237"/>
    <mergeCell ref="B226:B237"/>
    <mergeCell ref="A174:A183"/>
    <mergeCell ref="B174:B183"/>
    <mergeCell ref="A184:A185"/>
    <mergeCell ref="B184:B185"/>
    <mergeCell ref="A187:A198"/>
    <mergeCell ref="B187:B198"/>
    <mergeCell ref="A135:A146"/>
    <mergeCell ref="B135:B146"/>
    <mergeCell ref="A148:A159"/>
    <mergeCell ref="B148:B159"/>
    <mergeCell ref="A161:A172"/>
    <mergeCell ref="B161:B172"/>
    <mergeCell ref="A96:A107"/>
    <mergeCell ref="B96:B107"/>
    <mergeCell ref="A109:A120"/>
    <mergeCell ref="B109:B120"/>
    <mergeCell ref="A122:A133"/>
    <mergeCell ref="B122:B133"/>
    <mergeCell ref="A70:A81"/>
    <mergeCell ref="B70:B81"/>
    <mergeCell ref="A83:A88"/>
    <mergeCell ref="B83:B88"/>
    <mergeCell ref="A89:A94"/>
    <mergeCell ref="B89:B94"/>
    <mergeCell ref="A31:A42"/>
    <mergeCell ref="B31:B42"/>
    <mergeCell ref="A44:A55"/>
    <mergeCell ref="B44:B55"/>
    <mergeCell ref="A57:A68"/>
    <mergeCell ref="B57:B68"/>
    <mergeCell ref="D1:R1"/>
    <mergeCell ref="T1:T2"/>
    <mergeCell ref="A5:A16"/>
    <mergeCell ref="B5:B16"/>
    <mergeCell ref="A18:A29"/>
    <mergeCell ref="B18:B2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1209-7875-434E-8BA5-3AFDEC49300F}">
  <dimension ref="B1:G18"/>
  <sheetViews>
    <sheetView view="pageBreakPreview" zoomScale="60" zoomScaleNormal="100" workbookViewId="0">
      <selection activeCell="K11" sqref="K11"/>
    </sheetView>
  </sheetViews>
  <sheetFormatPr defaultRowHeight="15" x14ac:dyDescent="0.25"/>
  <cols>
    <col min="2" max="2" width="25.7109375" customWidth="1"/>
    <col min="3" max="3" width="14.85546875" customWidth="1"/>
    <col min="4" max="4" width="13.140625" bestFit="1" customWidth="1"/>
    <col min="5" max="5" width="13.7109375" bestFit="1" customWidth="1"/>
    <col min="6" max="6" width="13.85546875" bestFit="1" customWidth="1"/>
    <col min="7" max="7" width="21.85546875" customWidth="1"/>
  </cols>
  <sheetData>
    <row r="1" spans="2:7" ht="18.75" x14ac:dyDescent="0.3">
      <c r="B1" s="322" t="s">
        <v>82</v>
      </c>
      <c r="C1" s="322"/>
      <c r="D1" s="322"/>
      <c r="E1" s="322"/>
      <c r="F1" s="322"/>
      <c r="G1" s="322"/>
    </row>
    <row r="2" spans="2:7" ht="18.75" x14ac:dyDescent="0.3">
      <c r="B2" s="322" t="s">
        <v>0</v>
      </c>
      <c r="C2" s="322"/>
      <c r="D2" s="322"/>
      <c r="E2" s="322"/>
      <c r="F2" s="322"/>
      <c r="G2" s="322"/>
    </row>
    <row r="4" spans="2:7" ht="22.5" customHeight="1" x14ac:dyDescent="0.25">
      <c r="B4" s="323" t="s">
        <v>77</v>
      </c>
      <c r="C4" s="323" t="s">
        <v>78</v>
      </c>
      <c r="D4" s="323" t="s">
        <v>79</v>
      </c>
      <c r="E4" s="323" t="s">
        <v>80</v>
      </c>
      <c r="F4" s="323" t="s">
        <v>81</v>
      </c>
      <c r="G4" s="79" t="s">
        <v>83</v>
      </c>
    </row>
    <row r="5" spans="2:7" ht="22.5" customHeight="1" x14ac:dyDescent="0.25">
      <c r="B5" s="323"/>
      <c r="C5" s="323"/>
      <c r="D5" s="323"/>
      <c r="E5" s="323"/>
      <c r="F5" s="323"/>
      <c r="G5" s="80" t="s">
        <v>84</v>
      </c>
    </row>
    <row r="6" spans="2:7" ht="39.75" customHeight="1" x14ac:dyDescent="0.25">
      <c r="B6" s="81" t="s">
        <v>56</v>
      </c>
      <c r="C6" s="6">
        <f>'Sheet2 (2)'!G5+'Sheet2 (2)'!G18+'Sheet2 (2)'!G31+'Sheet2 (2)'!G44+'Sheet2 (2)'!G57+'Sheet2 (2)'!G70+'Sheet2 (2)'!G83+'Sheet2 (2)'!G96+'Sheet2 (2)'!G109+'Sheet2 (2)'!G122+'Sheet2 (2)'!G135+'Sheet2 (2)'!G148+'Sheet2 (2)'!G161+'Sheet2 (2)'!G174+'Sheet2 (2)'!G187+'Sheet2 (2)'!G200+'Sheet2 (2)'!G213+'Sheet2 (2)'!G226+'Sheet2 (2)'!G239+'Sheet2 (2)'!G252+'Sheet2 (2)'!G265+'Sheet2 (2)'!G278+'Sheet2 (2)'!G291+'Sheet2 (2)'!G304</f>
        <v>34</v>
      </c>
      <c r="D6" s="6">
        <f>'Sheet2 (2)'!K5+'Sheet2 (2)'!K18+'Sheet2 (2)'!K31+'Sheet2 (2)'!K44+'Sheet2 (2)'!K57+'Sheet2 (2)'!K70+'Sheet2 (2)'!K83+'Sheet2 (2)'!K96+'Sheet2 (2)'!K109+'Sheet2 (2)'!K122+'Sheet2 (2)'!K135+'Sheet2 (2)'!K148+'Sheet2 (2)'!K161+'Sheet2 (2)'!K174+'Sheet2 (2)'!K187+'Sheet2 (2)'!K200+'Sheet2 (2)'!K213+'Sheet2 (2)'!K226+'Sheet2 (2)'!K239+'Sheet2 (2)'!K252+'Sheet2 (2)'!K265+'Sheet2 (2)'!K278+'Sheet2 (2)'!K291+'Sheet2 (2)'!K304</f>
        <v>28</v>
      </c>
      <c r="E6" s="6">
        <f>'Sheet2 (2)'!O5+'Sheet2 (2)'!O18+'Sheet2 (2)'!O31+'Sheet2 (2)'!O44+'Sheet2 (2)'!O57+'Sheet2 (2)'!O70+'Sheet2 (2)'!O83+'Sheet2 (2)'!O96+'Sheet2 (2)'!O109+'Sheet2 (2)'!O122+'Sheet2 (2)'!O135+'Sheet2 (2)'!O148+'Sheet2 (2)'!O161+'Sheet2 (2)'!O174+'Sheet2 (2)'!O187+'Sheet2 (2)'!O200+'Sheet2 (2)'!O213+'Sheet2 (2)'!O226+'Sheet2 (2)'!O239+'Sheet2 (2)'!O252+'Sheet2 (2)'!O265+'Sheet2 (2)'!O278+'Sheet2 (2)'!O291+'Sheet2 (2)'!O304</f>
        <v>9</v>
      </c>
      <c r="F6" s="6">
        <f>'Sheet2 (2)'!S5+'Sheet2 (2)'!S18+'Sheet2 (2)'!S31+'Sheet2 (2)'!S44+'Sheet2 (2)'!S57+'Sheet2 (2)'!S70+'Sheet2 (2)'!S83+'Sheet2 (2)'!S96+'Sheet2 (2)'!S109+'Sheet2 (2)'!S122+'Sheet2 (2)'!S135+'Sheet2 (2)'!S148+'Sheet2 (2)'!S161+'Sheet2 (2)'!S174+'Sheet2 (2)'!S187+'Sheet2 (2)'!S200+'Sheet2 (2)'!S213+'Sheet2 (2)'!S226+'Sheet2 (2)'!S239+'Sheet2 (2)'!S252+'Sheet2 (2)'!S265+'Sheet2 (2)'!S278+'Sheet2 (2)'!S291+'Sheet2 (2)'!S304</f>
        <v>2</v>
      </c>
      <c r="G6" s="82">
        <f>C6+D6+E6+F6</f>
        <v>73</v>
      </c>
    </row>
    <row r="7" spans="2:7" ht="39.75" customHeight="1" x14ac:dyDescent="0.25">
      <c r="B7" s="81" t="s">
        <v>57</v>
      </c>
      <c r="C7" s="6">
        <f>'Sheet2 (2)'!G6+'Sheet2 (2)'!G19+'Sheet2 (2)'!G32+'Sheet2 (2)'!G45+'Sheet2 (2)'!G58+'Sheet2 (2)'!G71+'Sheet2 (2)'!G84+'Sheet2 (2)'!G97+'Sheet2 (2)'!G110+'Sheet2 (2)'!G123+'Sheet2 (2)'!G136+'Sheet2 (2)'!G149+'Sheet2 (2)'!G162+'Sheet2 (2)'!G175+'Sheet2 (2)'!G188+'Sheet2 (2)'!G201+'Sheet2 (2)'!G214+'Sheet2 (2)'!G227+'Sheet2 (2)'!G240+'Sheet2 (2)'!G253+'Sheet2 (2)'!G266+'Sheet2 (2)'!G279+'Sheet2 (2)'!G292+'Sheet2 (2)'!G305</f>
        <v>0</v>
      </c>
      <c r="D7" s="6">
        <f>'Sheet2 (2)'!K6+'Sheet2 (2)'!K19+'Sheet2 (2)'!K32+'Sheet2 (2)'!K45+'Sheet2 (2)'!K58+'Sheet2 (2)'!K71+'Sheet2 (2)'!K84+'Sheet2 (2)'!K97+'Sheet2 (2)'!K110+'Sheet2 (2)'!K123+'Sheet2 (2)'!K136+'Sheet2 (2)'!K149+'Sheet2 (2)'!K162+'Sheet2 (2)'!K175+'Sheet2 (2)'!K188+'Sheet2 (2)'!K201+'Sheet2 (2)'!K214+'Sheet2 (2)'!K227+'Sheet2 (2)'!K240+'Sheet2 (2)'!K253+'Sheet2 (2)'!K266+'Sheet2 (2)'!K279+'Sheet2 (2)'!K292+'Sheet2 (2)'!K305</f>
        <v>0</v>
      </c>
      <c r="E7" s="6">
        <f>'Sheet2 (2)'!O6+'Sheet2 (2)'!O19+'Sheet2 (2)'!O32+'Sheet2 (2)'!O45+'Sheet2 (2)'!O58+'Sheet2 (2)'!O71+'Sheet2 (2)'!O84+'Sheet2 (2)'!O97+'Sheet2 (2)'!O110+'Sheet2 (2)'!O123+'Sheet2 (2)'!O136+'Sheet2 (2)'!O149+'Sheet2 (2)'!O162+'Sheet2 (2)'!O175+'Sheet2 (2)'!O188+'Sheet2 (2)'!O201+'Sheet2 (2)'!O214+'Sheet2 (2)'!O227+'Sheet2 (2)'!O240+'Sheet2 (2)'!O253+'Sheet2 (2)'!O266+'Sheet2 (2)'!O279+'Sheet2 (2)'!O292+'Sheet2 (2)'!O305</f>
        <v>0</v>
      </c>
      <c r="F7" s="6">
        <f>'Sheet2 (2)'!S6+'Sheet2 (2)'!S19+'Sheet2 (2)'!S32+'Sheet2 (2)'!S45+'Sheet2 (2)'!S58+'Sheet2 (2)'!S71+'Sheet2 (2)'!S84+'Sheet2 (2)'!S97+'Sheet2 (2)'!S110+'Sheet2 (2)'!S123+'Sheet2 (2)'!S136+'Sheet2 (2)'!S149+'Sheet2 (2)'!S162+'Sheet2 (2)'!S175+'Sheet2 (2)'!S188+'Sheet2 (2)'!S201+'Sheet2 (2)'!S214+'Sheet2 (2)'!S227+'Sheet2 (2)'!S240+'Sheet2 (2)'!S253+'Sheet2 (2)'!S266+'Sheet2 (2)'!S279+'Sheet2 (2)'!S292+'Sheet2 (2)'!S305</f>
        <v>0</v>
      </c>
      <c r="G7" s="82">
        <f t="shared" ref="G7:G17" si="0">C7+D7+E7+F7</f>
        <v>0</v>
      </c>
    </row>
    <row r="8" spans="2:7" ht="39.75" customHeight="1" x14ac:dyDescent="0.25">
      <c r="B8" s="81" t="s">
        <v>58</v>
      </c>
      <c r="C8" s="6">
        <f>'Sheet2 (2)'!G7+'Sheet2 (2)'!G20+'Sheet2 (2)'!G33+'Sheet2 (2)'!G46+'Sheet2 (2)'!G59+'Sheet2 (2)'!G72+'Sheet2 (2)'!G85+'Sheet2 (2)'!G98+'Sheet2 (2)'!G111+'Sheet2 (2)'!G124+'Sheet2 (2)'!G137+'Sheet2 (2)'!G150+'Sheet2 (2)'!G163+'Sheet2 (2)'!G176+'Sheet2 (2)'!G189+'Sheet2 (2)'!G202+'Sheet2 (2)'!G215+'Sheet2 (2)'!G228+'Sheet2 (2)'!G241+'Sheet2 (2)'!G254+'Sheet2 (2)'!G267+'Sheet2 (2)'!G280+'Sheet2 (2)'!G293+'Sheet2 (2)'!G306</f>
        <v>43</v>
      </c>
      <c r="D8" s="6">
        <f>'Sheet2 (2)'!K7+'Sheet2 (2)'!K20+'Sheet2 (2)'!K33+'Sheet2 (2)'!K46+'Sheet2 (2)'!K59+'Sheet2 (2)'!K72+'Sheet2 (2)'!K85+'Sheet2 (2)'!K98+'Sheet2 (2)'!K111+'Sheet2 (2)'!K124+'Sheet2 (2)'!K137+'Sheet2 (2)'!K150+'Sheet2 (2)'!K163+'Sheet2 (2)'!K176+'Sheet2 (2)'!K189+'Sheet2 (2)'!K202+'Sheet2 (2)'!K215+'Sheet2 (2)'!K228+'Sheet2 (2)'!K241+'Sheet2 (2)'!K254+'Sheet2 (2)'!K267+'Sheet2 (2)'!K280+'Sheet2 (2)'!K293+'Sheet2 (2)'!K306</f>
        <v>36</v>
      </c>
      <c r="E8" s="6">
        <f>'Sheet2 (2)'!O7+'Sheet2 (2)'!O20+'Sheet2 (2)'!O33+'Sheet2 (2)'!O46+'Sheet2 (2)'!O59+'Sheet2 (2)'!O72+'Sheet2 (2)'!O85+'Sheet2 (2)'!O98+'Sheet2 (2)'!O111+'Sheet2 (2)'!O124+'Sheet2 (2)'!O137+'Sheet2 (2)'!O150+'Sheet2 (2)'!O163+'Sheet2 (2)'!O176+'Sheet2 (2)'!O189+'Sheet2 (2)'!O202+'Sheet2 (2)'!O215+'Sheet2 (2)'!O228+'Sheet2 (2)'!O241+'Sheet2 (2)'!O254+'Sheet2 (2)'!O267+'Sheet2 (2)'!O280+'Sheet2 (2)'!O293+'Sheet2 (2)'!O306</f>
        <v>8</v>
      </c>
      <c r="F8" s="6">
        <f>'Sheet2 (2)'!S7+'Sheet2 (2)'!S20+'Sheet2 (2)'!S33+'Sheet2 (2)'!S46+'Sheet2 (2)'!S59+'Sheet2 (2)'!S72+'Sheet2 (2)'!S85+'Sheet2 (2)'!S98+'Sheet2 (2)'!S111+'Sheet2 (2)'!S124+'Sheet2 (2)'!S137+'Sheet2 (2)'!S150+'Sheet2 (2)'!S163+'Sheet2 (2)'!S176+'Sheet2 (2)'!S189+'Sheet2 (2)'!S202+'Sheet2 (2)'!S215+'Sheet2 (2)'!S228+'Sheet2 (2)'!S241+'Sheet2 (2)'!S254+'Sheet2 (2)'!S267+'Sheet2 (2)'!S280+'Sheet2 (2)'!S293+'Sheet2 (2)'!S306</f>
        <v>3</v>
      </c>
      <c r="G8" s="82">
        <f t="shared" si="0"/>
        <v>90</v>
      </c>
    </row>
    <row r="9" spans="2:7" ht="39.75" customHeight="1" x14ac:dyDescent="0.25">
      <c r="B9" s="81" t="s">
        <v>59</v>
      </c>
      <c r="C9" s="6">
        <f>'Sheet2 (2)'!G8+'Sheet2 (2)'!G21+'Sheet2 (2)'!G34+'Sheet2 (2)'!G47+'Sheet2 (2)'!G60+'Sheet2 (2)'!G73+'Sheet2 (2)'!G86+'Sheet2 (2)'!G99+'Sheet2 (2)'!G112+'Sheet2 (2)'!G125+'Sheet2 (2)'!G138+'Sheet2 (2)'!G151+'Sheet2 (2)'!G164+'Sheet2 (2)'!G177+'Sheet2 (2)'!G190+'Sheet2 (2)'!G203+'Sheet2 (2)'!G216+'Sheet2 (2)'!G229+'Sheet2 (2)'!G242+'Sheet2 (2)'!G255+'Sheet2 (2)'!G268+'Sheet2 (2)'!G281+'Sheet2 (2)'!G294+'Sheet2 (2)'!G307</f>
        <v>0</v>
      </c>
      <c r="D9" s="6">
        <f>'Sheet2 (2)'!K8+'Sheet2 (2)'!K21+'Sheet2 (2)'!K34+'Sheet2 (2)'!K47+'Sheet2 (2)'!K60+'Sheet2 (2)'!K73+'Sheet2 (2)'!K86+'Sheet2 (2)'!K99+'Sheet2 (2)'!K112+'Sheet2 (2)'!K125+'Sheet2 (2)'!K138+'Sheet2 (2)'!K151+'Sheet2 (2)'!K164+'Sheet2 (2)'!K177+'Sheet2 (2)'!K190+'Sheet2 (2)'!K203+'Sheet2 (2)'!K216+'Sheet2 (2)'!K229+'Sheet2 (2)'!K242+'Sheet2 (2)'!K255+'Sheet2 (2)'!K268+'Sheet2 (2)'!K281+'Sheet2 (2)'!K294+'Sheet2 (2)'!K307</f>
        <v>0</v>
      </c>
      <c r="E9" s="6">
        <f>'Sheet2 (2)'!O8+'Sheet2 (2)'!O21+'Sheet2 (2)'!O34+'Sheet2 (2)'!O47+'Sheet2 (2)'!O60+'Sheet2 (2)'!O73+'Sheet2 (2)'!O86+'Sheet2 (2)'!O99+'Sheet2 (2)'!O112+'Sheet2 (2)'!O125+'Sheet2 (2)'!O138+'Sheet2 (2)'!O151+'Sheet2 (2)'!O164+'Sheet2 (2)'!O177+'Sheet2 (2)'!O190+'Sheet2 (2)'!O203+'Sheet2 (2)'!O216+'Sheet2 (2)'!O229+'Sheet2 (2)'!O242+'Sheet2 (2)'!O255+'Sheet2 (2)'!O268+'Sheet2 (2)'!O281+'Sheet2 (2)'!O294+'Sheet2 (2)'!O307</f>
        <v>0</v>
      </c>
      <c r="F9" s="6">
        <f>'Sheet2 (2)'!S8+'Sheet2 (2)'!S21+'Sheet2 (2)'!S34+'Sheet2 (2)'!S47+'Sheet2 (2)'!S60+'Sheet2 (2)'!S73+'Sheet2 (2)'!S86+'Sheet2 (2)'!S99+'Sheet2 (2)'!S112+'Sheet2 (2)'!S125+'Sheet2 (2)'!S138+'Sheet2 (2)'!S151+'Sheet2 (2)'!S164+'Sheet2 (2)'!S177+'Sheet2 (2)'!S190+'Sheet2 (2)'!S203+'Sheet2 (2)'!S216+'Sheet2 (2)'!S229+'Sheet2 (2)'!S242+'Sheet2 (2)'!S255+'Sheet2 (2)'!S268+'Sheet2 (2)'!S281+'Sheet2 (2)'!S294+'Sheet2 (2)'!S307</f>
        <v>2</v>
      </c>
      <c r="G9" s="82">
        <f t="shared" si="0"/>
        <v>2</v>
      </c>
    </row>
    <row r="10" spans="2:7" ht="39.75" customHeight="1" x14ac:dyDescent="0.25">
      <c r="B10" s="81" t="s">
        <v>60</v>
      </c>
      <c r="C10" s="6">
        <f>'Sheet2 (2)'!G9+'Sheet2 (2)'!G22+'Sheet2 (2)'!G35+'Sheet2 (2)'!G48+'Sheet2 (2)'!G61+'Sheet2 (2)'!G74+'Sheet2 (2)'!G87+'Sheet2 (2)'!G100+'Sheet2 (2)'!G113+'Sheet2 (2)'!G126+'Sheet2 (2)'!G139+'Sheet2 (2)'!G152+'Sheet2 (2)'!G165+'Sheet2 (2)'!G178+'Sheet2 (2)'!G191+'Sheet2 (2)'!G204+'Sheet2 (2)'!G217+'Sheet2 (2)'!G230+'Sheet2 (2)'!G243+'Sheet2 (2)'!G256+'Sheet2 (2)'!G269+'Sheet2 (2)'!G282+'Sheet2 (2)'!G295+'Sheet2 (2)'!G308</f>
        <v>0</v>
      </c>
      <c r="D10" s="6">
        <f>'Sheet2 (2)'!K9+'Sheet2 (2)'!K22+'Sheet2 (2)'!K35+'Sheet2 (2)'!K48+'Sheet2 (2)'!K61+'Sheet2 (2)'!K74+'Sheet2 (2)'!K87+'Sheet2 (2)'!K100+'Sheet2 (2)'!K113+'Sheet2 (2)'!K126+'Sheet2 (2)'!K139+'Sheet2 (2)'!K152+'Sheet2 (2)'!K165+'Sheet2 (2)'!K178+'Sheet2 (2)'!K191+'Sheet2 (2)'!K204+'Sheet2 (2)'!K217+'Sheet2 (2)'!K230+'Sheet2 (2)'!K243+'Sheet2 (2)'!K256+'Sheet2 (2)'!K269+'Sheet2 (2)'!K282+'Sheet2 (2)'!K295+'Sheet2 (2)'!K308</f>
        <v>0</v>
      </c>
      <c r="E10" s="6">
        <f>'Sheet2 (2)'!O9+'Sheet2 (2)'!O22+'Sheet2 (2)'!O35+'Sheet2 (2)'!O48+'Sheet2 (2)'!O61+'Sheet2 (2)'!O74+'Sheet2 (2)'!O87+'Sheet2 (2)'!O100+'Sheet2 (2)'!O113+'Sheet2 (2)'!O126+'Sheet2 (2)'!O139+'Sheet2 (2)'!O152+'Sheet2 (2)'!O165+'Sheet2 (2)'!O178+'Sheet2 (2)'!O191+'Sheet2 (2)'!O204+'Sheet2 (2)'!O217+'Sheet2 (2)'!O230+'Sheet2 (2)'!O243+'Sheet2 (2)'!O256+'Sheet2 (2)'!O269+'Sheet2 (2)'!O282+'Sheet2 (2)'!O295+'Sheet2 (2)'!O308</f>
        <v>0</v>
      </c>
      <c r="F10" s="6">
        <f>'Sheet2 (2)'!S9+'Sheet2 (2)'!S22+'Sheet2 (2)'!S35+'Sheet2 (2)'!S48+'Sheet2 (2)'!S61+'Sheet2 (2)'!S74+'Sheet2 (2)'!S87+'Sheet2 (2)'!S100+'Sheet2 (2)'!S113+'Sheet2 (2)'!S126+'Sheet2 (2)'!S139+'Sheet2 (2)'!S152+'Sheet2 (2)'!S165+'Sheet2 (2)'!S178+'Sheet2 (2)'!S191+'Sheet2 (2)'!S204+'Sheet2 (2)'!S217+'Sheet2 (2)'!S230+'Sheet2 (2)'!S243+'Sheet2 (2)'!S256+'Sheet2 (2)'!S269+'Sheet2 (2)'!S282+'Sheet2 (2)'!S295+'Sheet2 (2)'!S308</f>
        <v>0</v>
      </c>
      <c r="G10" s="82">
        <f t="shared" si="0"/>
        <v>0</v>
      </c>
    </row>
    <row r="11" spans="2:7" ht="39.75" customHeight="1" x14ac:dyDescent="0.25">
      <c r="B11" s="81" t="s">
        <v>61</v>
      </c>
      <c r="C11" s="6">
        <f>'Sheet2 (2)'!G10+'Sheet2 (2)'!G23+'Sheet2 (2)'!G36+'Sheet2 (2)'!G49+'Sheet2 (2)'!G62+'Sheet2 (2)'!G75+'Sheet2 (2)'!G88+'Sheet2 (2)'!G101+'Sheet2 (2)'!G114+'Sheet2 (2)'!G127+'Sheet2 (2)'!G140+'Sheet2 (2)'!G153+'Sheet2 (2)'!G166+'Sheet2 (2)'!G179+'Sheet2 (2)'!G192+'Sheet2 (2)'!G205+'Sheet2 (2)'!G218+'Sheet2 (2)'!G231+'Sheet2 (2)'!G244+'Sheet2 (2)'!G257+'Sheet2 (2)'!G270+'Sheet2 (2)'!G283+'Sheet2 (2)'!G296+'Sheet2 (2)'!G309</f>
        <v>1</v>
      </c>
      <c r="D11" s="6">
        <f>'Sheet2 (2)'!K10+'Sheet2 (2)'!K23+'Sheet2 (2)'!K36+'Sheet2 (2)'!K49+'Sheet2 (2)'!K62+'Sheet2 (2)'!K75+'Sheet2 (2)'!K88+'Sheet2 (2)'!K101+'Sheet2 (2)'!K114+'Sheet2 (2)'!K127+'Sheet2 (2)'!K140+'Sheet2 (2)'!K153+'Sheet2 (2)'!K166+'Sheet2 (2)'!K179+'Sheet2 (2)'!K192+'Sheet2 (2)'!K205+'Sheet2 (2)'!K218+'Sheet2 (2)'!K231+'Sheet2 (2)'!K244+'Sheet2 (2)'!K257+'Sheet2 (2)'!K270+'Sheet2 (2)'!K283+'Sheet2 (2)'!K296+'Sheet2 (2)'!K309</f>
        <v>1</v>
      </c>
      <c r="E11" s="6">
        <f>'Sheet2 (2)'!O10+'Sheet2 (2)'!O23+'Sheet2 (2)'!O36+'Sheet2 (2)'!O49+'Sheet2 (2)'!O62+'Sheet2 (2)'!O75+'Sheet2 (2)'!O88+'Sheet2 (2)'!O101+'Sheet2 (2)'!O114+'Sheet2 (2)'!O127+'Sheet2 (2)'!O140+'Sheet2 (2)'!O153+'Sheet2 (2)'!O166+'Sheet2 (2)'!O179+'Sheet2 (2)'!O192+'Sheet2 (2)'!O205+'Sheet2 (2)'!O218+'Sheet2 (2)'!O231+'Sheet2 (2)'!O244+'Sheet2 (2)'!O257+'Sheet2 (2)'!O270+'Sheet2 (2)'!O283+'Sheet2 (2)'!O296+'Sheet2 (2)'!O309</f>
        <v>2</v>
      </c>
      <c r="F11" s="6">
        <f>'Sheet2 (2)'!S10+'Sheet2 (2)'!S23+'Sheet2 (2)'!S36+'Sheet2 (2)'!S49+'Sheet2 (2)'!S62+'Sheet2 (2)'!S75+'Sheet2 (2)'!S88+'Sheet2 (2)'!S101+'Sheet2 (2)'!S114+'Sheet2 (2)'!S127+'Sheet2 (2)'!S140+'Sheet2 (2)'!S153+'Sheet2 (2)'!S166+'Sheet2 (2)'!S179+'Sheet2 (2)'!S192+'Sheet2 (2)'!S205+'Sheet2 (2)'!S218+'Sheet2 (2)'!S231+'Sheet2 (2)'!S244+'Sheet2 (2)'!S257+'Sheet2 (2)'!S270+'Sheet2 (2)'!S283+'Sheet2 (2)'!S296+'Sheet2 (2)'!S309</f>
        <v>1</v>
      </c>
      <c r="G11" s="82">
        <f t="shared" si="0"/>
        <v>5</v>
      </c>
    </row>
    <row r="12" spans="2:7" ht="39.75" customHeight="1" x14ac:dyDescent="0.25">
      <c r="B12" s="81" t="s">
        <v>62</v>
      </c>
      <c r="C12" s="6">
        <f>'Sheet2 (2)'!G11+'Sheet2 (2)'!G24+'Sheet2 (2)'!G37+'Sheet2 (2)'!G50+'Sheet2 (2)'!G63+'Sheet2 (2)'!G76+'Sheet2 (2)'!G89+'Sheet2 (2)'!G102+'Sheet2 (2)'!G115+'Sheet2 (2)'!G128+'Sheet2 (2)'!G141+'Sheet2 (2)'!G154+'Sheet2 (2)'!G167+'Sheet2 (2)'!G180+'Sheet2 (2)'!G193+'Sheet2 (2)'!G206+'Sheet2 (2)'!G219+'Sheet2 (2)'!G232+'Sheet2 (2)'!G245+'Sheet2 (2)'!G258+'Sheet2 (2)'!G271+'Sheet2 (2)'!G284+'Sheet2 (2)'!G297+'Sheet2 (2)'!G310</f>
        <v>51</v>
      </c>
      <c r="D12" s="6">
        <f>'Sheet2 (2)'!K11+'Sheet2 (2)'!K24+'Sheet2 (2)'!K37+'Sheet2 (2)'!K50+'Sheet2 (2)'!K63+'Sheet2 (2)'!K76+'Sheet2 (2)'!K89+'Sheet2 (2)'!K102+'Sheet2 (2)'!K115+'Sheet2 (2)'!K128+'Sheet2 (2)'!K141+'Sheet2 (2)'!K154+'Sheet2 (2)'!K167+'Sheet2 (2)'!K180+'Sheet2 (2)'!K193+'Sheet2 (2)'!K206+'Sheet2 (2)'!K219+'Sheet2 (2)'!K232+'Sheet2 (2)'!K245+'Sheet2 (2)'!K258+'Sheet2 (2)'!K271+'Sheet2 (2)'!K284+'Sheet2 (2)'!K297+'Sheet2 (2)'!K310</f>
        <v>67</v>
      </c>
      <c r="E12" s="6">
        <f>'Sheet2 (2)'!O11+'Sheet2 (2)'!O24+'Sheet2 (2)'!O37+'Sheet2 (2)'!O50+'Sheet2 (2)'!O63+'Sheet2 (2)'!O76+'Sheet2 (2)'!O89+'Sheet2 (2)'!O102+'Sheet2 (2)'!O115+'Sheet2 (2)'!O128+'Sheet2 (2)'!O141+'Sheet2 (2)'!O154+'Sheet2 (2)'!O167+'Sheet2 (2)'!O180+'Sheet2 (2)'!O193+'Sheet2 (2)'!O206+'Sheet2 (2)'!O219+'Sheet2 (2)'!O232+'Sheet2 (2)'!O245+'Sheet2 (2)'!O258+'Sheet2 (2)'!O271+'Sheet2 (2)'!O284+'Sheet2 (2)'!O297+'Sheet2 (2)'!O310</f>
        <v>129</v>
      </c>
      <c r="F12" s="6">
        <f>'Sheet2 (2)'!S11+'Sheet2 (2)'!S24+'Sheet2 (2)'!S37+'Sheet2 (2)'!S50+'Sheet2 (2)'!S63+'Sheet2 (2)'!S76+'Sheet2 (2)'!S89+'Sheet2 (2)'!S102+'Sheet2 (2)'!S115+'Sheet2 (2)'!S128+'Sheet2 (2)'!S141+'Sheet2 (2)'!S154+'Sheet2 (2)'!S167+'Sheet2 (2)'!S180+'Sheet2 (2)'!S193+'Sheet2 (2)'!S206+'Sheet2 (2)'!S219+'Sheet2 (2)'!S232+'Sheet2 (2)'!S245+'Sheet2 (2)'!S258+'Sheet2 (2)'!S271+'Sheet2 (2)'!S284+'Sheet2 (2)'!S297+'Sheet2 (2)'!S310</f>
        <v>103</v>
      </c>
      <c r="G12" s="82">
        <f t="shared" si="0"/>
        <v>350</v>
      </c>
    </row>
    <row r="13" spans="2:7" ht="39.75" customHeight="1" x14ac:dyDescent="0.25">
      <c r="B13" s="81" t="s">
        <v>63</v>
      </c>
      <c r="C13" s="6">
        <f>'Sheet2 (2)'!G12+'Sheet2 (2)'!G25+'Sheet2 (2)'!G38+'Sheet2 (2)'!G51+'Sheet2 (2)'!G64+'Sheet2 (2)'!G77+'Sheet2 (2)'!G90+'Sheet2 (2)'!G103+'Sheet2 (2)'!G116+'Sheet2 (2)'!G129+'Sheet2 (2)'!G142+'Sheet2 (2)'!G155+'Sheet2 (2)'!G168+'Sheet2 (2)'!G181+'Sheet2 (2)'!G194+'Sheet2 (2)'!G207+'Sheet2 (2)'!G220+'Sheet2 (2)'!G233+'Sheet2 (2)'!G246+'Sheet2 (2)'!G259+'Sheet2 (2)'!G272+'Sheet2 (2)'!G285+'Sheet2 (2)'!G298+'Sheet2 (2)'!G311</f>
        <v>82</v>
      </c>
      <c r="D13" s="6">
        <f>'Sheet2 (2)'!K12+'Sheet2 (2)'!K25+'Sheet2 (2)'!K38+'Sheet2 (2)'!K51+'Sheet2 (2)'!K64+'Sheet2 (2)'!K77+'Sheet2 (2)'!K90+'Sheet2 (2)'!K103+'Sheet2 (2)'!K116+'Sheet2 (2)'!K129+'Sheet2 (2)'!K142+'Sheet2 (2)'!K155+'Sheet2 (2)'!K168+'Sheet2 (2)'!K181+'Sheet2 (2)'!K194+'Sheet2 (2)'!K207+'Sheet2 (2)'!K220+'Sheet2 (2)'!K233+'Sheet2 (2)'!K246+'Sheet2 (2)'!K259+'Sheet2 (2)'!K272+'Sheet2 (2)'!K285+'Sheet2 (2)'!K298+'Sheet2 (2)'!K311</f>
        <v>26</v>
      </c>
      <c r="E13" s="6">
        <f>'Sheet2 (2)'!O12+'Sheet2 (2)'!O25+'Sheet2 (2)'!O38+'Sheet2 (2)'!O51+'Sheet2 (2)'!O64+'Sheet2 (2)'!O77+'Sheet2 (2)'!O90+'Sheet2 (2)'!O103+'Sheet2 (2)'!O116+'Sheet2 (2)'!O129+'Sheet2 (2)'!O142+'Sheet2 (2)'!O155+'Sheet2 (2)'!O168+'Sheet2 (2)'!O181+'Sheet2 (2)'!O194+'Sheet2 (2)'!O207+'Sheet2 (2)'!O220+'Sheet2 (2)'!O233+'Sheet2 (2)'!O246+'Sheet2 (2)'!O259+'Sheet2 (2)'!O272+'Sheet2 (2)'!O285+'Sheet2 (2)'!O298+'Sheet2 (2)'!O311</f>
        <v>92</v>
      </c>
      <c r="F13" s="6">
        <f>'Sheet2 (2)'!S12+'Sheet2 (2)'!S25+'Sheet2 (2)'!S38+'Sheet2 (2)'!S51+'Sheet2 (2)'!S64+'Sheet2 (2)'!S77+'Sheet2 (2)'!S90+'Sheet2 (2)'!S103+'Sheet2 (2)'!S116+'Sheet2 (2)'!S129+'Sheet2 (2)'!S142+'Sheet2 (2)'!S155+'Sheet2 (2)'!S168+'Sheet2 (2)'!S181+'Sheet2 (2)'!S194+'Sheet2 (2)'!S207+'Sheet2 (2)'!S220+'Sheet2 (2)'!S233+'Sheet2 (2)'!S246+'Sheet2 (2)'!S259+'Sheet2 (2)'!S272+'Sheet2 (2)'!S285+'Sheet2 (2)'!S298+'Sheet2 (2)'!S311</f>
        <v>35</v>
      </c>
      <c r="G13" s="82">
        <f t="shared" si="0"/>
        <v>235</v>
      </c>
    </row>
    <row r="14" spans="2:7" ht="39.75" customHeight="1" x14ac:dyDescent="0.25">
      <c r="B14" s="81" t="s">
        <v>64</v>
      </c>
      <c r="C14" s="6">
        <f>'Sheet2 (2)'!G13+'Sheet2 (2)'!G26+'Sheet2 (2)'!G39+'Sheet2 (2)'!G52+'Sheet2 (2)'!G65+'Sheet2 (2)'!G78+'Sheet2 (2)'!G91+'Sheet2 (2)'!G104+'Sheet2 (2)'!G117+'Sheet2 (2)'!G130+'Sheet2 (2)'!G143+'Sheet2 (2)'!G156+'Sheet2 (2)'!G169+'Sheet2 (2)'!G182+'Sheet2 (2)'!G195+'Sheet2 (2)'!G208+'Sheet2 (2)'!G221+'Sheet2 (2)'!G234+'Sheet2 (2)'!G247+'Sheet2 (2)'!G260+'Sheet2 (2)'!G273+'Sheet2 (2)'!G286+'Sheet2 (2)'!G299+'Sheet2 (2)'!G312</f>
        <v>29</v>
      </c>
      <c r="D14" s="6">
        <f>'Sheet2 (2)'!K13+'Sheet2 (2)'!K26+'Sheet2 (2)'!K39+'Sheet2 (2)'!K52+'Sheet2 (2)'!K65+'Sheet2 (2)'!K78+'Sheet2 (2)'!K91+'Sheet2 (2)'!K104+'Sheet2 (2)'!K117+'Sheet2 (2)'!K130+'Sheet2 (2)'!K143+'Sheet2 (2)'!K156+'Sheet2 (2)'!K169+'Sheet2 (2)'!K182+'Sheet2 (2)'!K195+'Sheet2 (2)'!K208+'Sheet2 (2)'!K221+'Sheet2 (2)'!K234+'Sheet2 (2)'!K247+'Sheet2 (2)'!K260+'Sheet2 (2)'!K273+'Sheet2 (2)'!K286+'Sheet2 (2)'!K299+'Sheet2 (2)'!K312</f>
        <v>4</v>
      </c>
      <c r="E14" s="6">
        <f>'Sheet2 (2)'!O13+'Sheet2 (2)'!O26+'Sheet2 (2)'!O39+'Sheet2 (2)'!O52+'Sheet2 (2)'!O65+'Sheet2 (2)'!O78+'Sheet2 (2)'!O91+'Sheet2 (2)'!O104+'Sheet2 (2)'!O117+'Sheet2 (2)'!O130+'Sheet2 (2)'!O143+'Sheet2 (2)'!O156+'Sheet2 (2)'!O169+'Sheet2 (2)'!O182+'Sheet2 (2)'!O195+'Sheet2 (2)'!O208+'Sheet2 (2)'!O221+'Sheet2 (2)'!O234+'Sheet2 (2)'!O247+'Sheet2 (2)'!O260+'Sheet2 (2)'!O273+'Sheet2 (2)'!O286+'Sheet2 (2)'!O299+'Sheet2 (2)'!O312</f>
        <v>3</v>
      </c>
      <c r="F14" s="6">
        <f>'Sheet2 (2)'!S13+'Sheet2 (2)'!S26+'Sheet2 (2)'!S39+'Sheet2 (2)'!S52+'Sheet2 (2)'!S65+'Sheet2 (2)'!S78+'Sheet2 (2)'!S91+'Sheet2 (2)'!S104+'Sheet2 (2)'!S117+'Sheet2 (2)'!S130+'Sheet2 (2)'!S143+'Sheet2 (2)'!S156+'Sheet2 (2)'!S169+'Sheet2 (2)'!S182+'Sheet2 (2)'!S195+'Sheet2 (2)'!S208+'Sheet2 (2)'!S221+'Sheet2 (2)'!S234+'Sheet2 (2)'!S247+'Sheet2 (2)'!S260+'Sheet2 (2)'!S273+'Sheet2 (2)'!S286+'Sheet2 (2)'!S299+'Sheet2 (2)'!S312</f>
        <v>5</v>
      </c>
      <c r="G14" s="82">
        <f t="shared" si="0"/>
        <v>41</v>
      </c>
    </row>
    <row r="15" spans="2:7" ht="39.75" customHeight="1" x14ac:dyDescent="0.25">
      <c r="B15" s="81" t="s">
        <v>65</v>
      </c>
      <c r="C15" s="6">
        <f>'Sheet2 (2)'!G14+'Sheet2 (2)'!G27+'Sheet2 (2)'!G40+'Sheet2 (2)'!G53+'Sheet2 (2)'!G66+'Sheet2 (2)'!G79+'Sheet2 (2)'!G92+'Sheet2 (2)'!G105+'Sheet2 (2)'!G118+'Sheet2 (2)'!G131+'Sheet2 (2)'!G144+'Sheet2 (2)'!G157+'Sheet2 (2)'!G170+'Sheet2 (2)'!G183+'Sheet2 (2)'!G196+'Sheet2 (2)'!G209+'Sheet2 (2)'!G222+'Sheet2 (2)'!G235+'Sheet2 (2)'!G248+'Sheet2 (2)'!G261+'Sheet2 (2)'!G274+'Sheet2 (2)'!G287+'Sheet2 (2)'!G300+'Sheet2 (2)'!G313</f>
        <v>4</v>
      </c>
      <c r="D15" s="6">
        <f>'Sheet2 (2)'!K14+'Sheet2 (2)'!K27+'Sheet2 (2)'!K40+'Sheet2 (2)'!K53+'Sheet2 (2)'!K66+'Sheet2 (2)'!K79+'Sheet2 (2)'!K92+'Sheet2 (2)'!K105+'Sheet2 (2)'!K118+'Sheet2 (2)'!K131+'Sheet2 (2)'!K144+'Sheet2 (2)'!K157+'Sheet2 (2)'!K170+'Sheet2 (2)'!K183+'Sheet2 (2)'!K196+'Sheet2 (2)'!K209+'Sheet2 (2)'!K222+'Sheet2 (2)'!K235+'Sheet2 (2)'!K248+'Sheet2 (2)'!K261+'Sheet2 (2)'!K274+'Sheet2 (2)'!K287+'Sheet2 (2)'!K300+'Sheet2 (2)'!K313</f>
        <v>0</v>
      </c>
      <c r="E15" s="6">
        <f>'Sheet2 (2)'!O14+'Sheet2 (2)'!O27+'Sheet2 (2)'!O40+'Sheet2 (2)'!O53+'Sheet2 (2)'!O66+'Sheet2 (2)'!O79+'Sheet2 (2)'!O92+'Sheet2 (2)'!O105+'Sheet2 (2)'!O118+'Sheet2 (2)'!O131+'Sheet2 (2)'!O144+'Sheet2 (2)'!O157+'Sheet2 (2)'!O170+'Sheet2 (2)'!O183+'Sheet2 (2)'!O196+'Sheet2 (2)'!O209+'Sheet2 (2)'!O222+'Sheet2 (2)'!O235+'Sheet2 (2)'!O248+'Sheet2 (2)'!O261+'Sheet2 (2)'!O274+'Sheet2 (2)'!O287+'Sheet2 (2)'!O300+'Sheet2 (2)'!O313</f>
        <v>2</v>
      </c>
      <c r="F15" s="6">
        <f>'Sheet2 (2)'!S14+'Sheet2 (2)'!S27+'Sheet2 (2)'!S40+'Sheet2 (2)'!S53+'Sheet2 (2)'!S66+'Sheet2 (2)'!S79+'Sheet2 (2)'!S92+'Sheet2 (2)'!S105+'Sheet2 (2)'!S118+'Sheet2 (2)'!S131+'Sheet2 (2)'!S144+'Sheet2 (2)'!S157+'Sheet2 (2)'!S170+'Sheet2 (2)'!S183+'Sheet2 (2)'!S196+'Sheet2 (2)'!S209+'Sheet2 (2)'!S222+'Sheet2 (2)'!S235+'Sheet2 (2)'!S248+'Sheet2 (2)'!S261+'Sheet2 (2)'!S274+'Sheet2 (2)'!S287+'Sheet2 (2)'!S300+'Sheet2 (2)'!S313</f>
        <v>1</v>
      </c>
      <c r="G15" s="82">
        <f t="shared" si="0"/>
        <v>7</v>
      </c>
    </row>
    <row r="16" spans="2:7" ht="39.75" customHeight="1" x14ac:dyDescent="0.25">
      <c r="B16" s="81" t="s">
        <v>66</v>
      </c>
      <c r="C16" s="6">
        <f>'Sheet2 (2)'!G15+'Sheet2 (2)'!G28+'Sheet2 (2)'!G41+'Sheet2 (2)'!G54+'Sheet2 (2)'!G67+'Sheet2 (2)'!G80+'Sheet2 (2)'!G93+'Sheet2 (2)'!G106+'Sheet2 (2)'!G119+'Sheet2 (2)'!G132+'Sheet2 (2)'!G145+'Sheet2 (2)'!G158+'Sheet2 (2)'!G171+'Sheet2 (2)'!G184+'Sheet2 (2)'!G197+'Sheet2 (2)'!G210+'Sheet2 (2)'!G223+'Sheet2 (2)'!G236+'Sheet2 (2)'!G249+'Sheet2 (2)'!G262+'Sheet2 (2)'!G275+'Sheet2 (2)'!G288+'Sheet2 (2)'!G301+'Sheet2 (2)'!G314</f>
        <v>0</v>
      </c>
      <c r="D16" s="6">
        <f>'Sheet2 (2)'!K15+'Sheet2 (2)'!K28+'Sheet2 (2)'!K41+'Sheet2 (2)'!K54+'Sheet2 (2)'!K67+'Sheet2 (2)'!K80+'Sheet2 (2)'!K93+'Sheet2 (2)'!K106+'Sheet2 (2)'!K119+'Sheet2 (2)'!K132+'Sheet2 (2)'!K145+'Sheet2 (2)'!K158+'Sheet2 (2)'!K171+'Sheet2 (2)'!K184+'Sheet2 (2)'!K197+'Sheet2 (2)'!K210+'Sheet2 (2)'!K223+'Sheet2 (2)'!K236+'Sheet2 (2)'!K249+'Sheet2 (2)'!K262+'Sheet2 (2)'!K275+'Sheet2 (2)'!K288+'Sheet2 (2)'!K301+'Sheet2 (2)'!K314</f>
        <v>0</v>
      </c>
      <c r="E16" s="6">
        <f>'Sheet2 (2)'!O15+'Sheet2 (2)'!O28+'Sheet2 (2)'!O41+'Sheet2 (2)'!O54+'Sheet2 (2)'!O67+'Sheet2 (2)'!O80+'Sheet2 (2)'!O93+'Sheet2 (2)'!O106+'Sheet2 (2)'!O119+'Sheet2 (2)'!O132+'Sheet2 (2)'!O145+'Sheet2 (2)'!O158+'Sheet2 (2)'!O171+'Sheet2 (2)'!O184+'Sheet2 (2)'!O197+'Sheet2 (2)'!O210+'Sheet2 (2)'!O223+'Sheet2 (2)'!O236+'Sheet2 (2)'!O249+'Sheet2 (2)'!O262+'Sheet2 (2)'!O275+'Sheet2 (2)'!O288+'Sheet2 (2)'!O301+'Sheet2 (2)'!O314</f>
        <v>22</v>
      </c>
      <c r="F16" s="6">
        <f>'Sheet2 (2)'!S15+'Sheet2 (2)'!S28+'Sheet2 (2)'!S41+'Sheet2 (2)'!S54+'Sheet2 (2)'!S67+'Sheet2 (2)'!S80+'Sheet2 (2)'!S93+'Sheet2 (2)'!S106+'Sheet2 (2)'!S119+'Sheet2 (2)'!S132+'Sheet2 (2)'!S145+'Sheet2 (2)'!S158+'Sheet2 (2)'!S171+'Sheet2 (2)'!S184+'Sheet2 (2)'!S197+'Sheet2 (2)'!S210+'Sheet2 (2)'!S223+'Sheet2 (2)'!S236+'Sheet2 (2)'!S249+'Sheet2 (2)'!S262+'Sheet2 (2)'!S275+'Sheet2 (2)'!S288+'Sheet2 (2)'!S301+'Sheet2 (2)'!S314</f>
        <v>66</v>
      </c>
      <c r="G16" s="82">
        <f t="shared" si="0"/>
        <v>88</v>
      </c>
    </row>
    <row r="17" spans="2:7" ht="39.75" customHeight="1" x14ac:dyDescent="0.25">
      <c r="B17" s="81" t="s">
        <v>67</v>
      </c>
      <c r="C17" s="6">
        <f>'Sheet2 (2)'!G16+'Sheet2 (2)'!G29+'Sheet2 (2)'!G42+'Sheet2 (2)'!G55+'Sheet2 (2)'!G68+'Sheet2 (2)'!G81+'Sheet2 (2)'!G94+'Sheet2 (2)'!G107+'Sheet2 (2)'!G120+'Sheet2 (2)'!G133+'Sheet2 (2)'!G146+'Sheet2 (2)'!G159+'Sheet2 (2)'!G172+'Sheet2 (2)'!G185+'Sheet2 (2)'!G198+'Sheet2 (2)'!G211+'Sheet2 (2)'!G224+'Sheet2 (2)'!G237+'Sheet2 (2)'!G250+'Sheet2 (2)'!G263+'Sheet2 (2)'!G276+'Sheet2 (2)'!G289+'Sheet2 (2)'!G302+'Sheet2 (2)'!G315</f>
        <v>0</v>
      </c>
      <c r="D17" s="6">
        <f>'Sheet2 (2)'!K16+'Sheet2 (2)'!K29+'Sheet2 (2)'!K42+'Sheet2 (2)'!K55+'Sheet2 (2)'!K68+'Sheet2 (2)'!K81+'Sheet2 (2)'!K94+'Sheet2 (2)'!K107+'Sheet2 (2)'!K120+'Sheet2 (2)'!K133+'Sheet2 (2)'!K146+'Sheet2 (2)'!K159+'Sheet2 (2)'!K172+'Sheet2 (2)'!K185+'Sheet2 (2)'!K198+'Sheet2 (2)'!K211+'Sheet2 (2)'!K224+'Sheet2 (2)'!K237+'Sheet2 (2)'!K250+'Sheet2 (2)'!K263+'Sheet2 (2)'!K276+'Sheet2 (2)'!K289+'Sheet2 (2)'!K302+'Sheet2 (2)'!K315</f>
        <v>0</v>
      </c>
      <c r="E17" s="6">
        <f>'Sheet2 (2)'!O16+'Sheet2 (2)'!O29+'Sheet2 (2)'!O42+'Sheet2 (2)'!O55+'Sheet2 (2)'!O68+'Sheet2 (2)'!O81+'Sheet2 (2)'!O94+'Sheet2 (2)'!O107+'Sheet2 (2)'!O120+'Sheet2 (2)'!O133+'Sheet2 (2)'!O146+'Sheet2 (2)'!O159+'Sheet2 (2)'!O172+'Sheet2 (2)'!O185+'Sheet2 (2)'!O198+'Sheet2 (2)'!O211+'Sheet2 (2)'!O224+'Sheet2 (2)'!O237+'Sheet2 (2)'!O250+'Sheet2 (2)'!O263+'Sheet2 (2)'!O276+'Sheet2 (2)'!O289+'Sheet2 (2)'!O302+'Sheet2 (2)'!O315</f>
        <v>33</v>
      </c>
      <c r="F17" s="6">
        <f>'Sheet2 (2)'!S16+'Sheet2 (2)'!S29+'Sheet2 (2)'!S42+'Sheet2 (2)'!S55+'Sheet2 (2)'!S68+'Sheet2 (2)'!S81+'Sheet2 (2)'!S94+'Sheet2 (2)'!S107+'Sheet2 (2)'!S120+'Sheet2 (2)'!S133+'Sheet2 (2)'!S146+'Sheet2 (2)'!S159+'Sheet2 (2)'!S172+'Sheet2 (2)'!S185+'Sheet2 (2)'!S198+'Sheet2 (2)'!S211+'Sheet2 (2)'!S224+'Sheet2 (2)'!S237+'Sheet2 (2)'!S250+'Sheet2 (2)'!S263+'Sheet2 (2)'!S276+'Sheet2 (2)'!S289+'Sheet2 (2)'!S302+'Sheet2 (2)'!S315</f>
        <v>56</v>
      </c>
      <c r="G17" s="82">
        <f t="shared" si="0"/>
        <v>89</v>
      </c>
    </row>
    <row r="18" spans="2:7" ht="18.75" x14ac:dyDescent="0.3">
      <c r="B18" s="77" t="s">
        <v>15</v>
      </c>
      <c r="C18" s="78">
        <f>SUM(C6:C17)</f>
        <v>244</v>
      </c>
      <c r="D18" s="78">
        <f t="shared" ref="D18:G18" si="1">SUM(D6:D17)</f>
        <v>162</v>
      </c>
      <c r="E18" s="78">
        <f t="shared" si="1"/>
        <v>300</v>
      </c>
      <c r="F18" s="78">
        <f t="shared" si="1"/>
        <v>274</v>
      </c>
      <c r="G18" s="78">
        <f t="shared" si="1"/>
        <v>980</v>
      </c>
    </row>
  </sheetData>
  <mergeCells count="7">
    <mergeCell ref="B1:G1"/>
    <mergeCell ref="B2:G2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9BE96-F6C3-4A54-AD29-2D6E9A35BAD9}">
  <sheetPr>
    <tabColor rgb="FF00B050"/>
  </sheetPr>
  <dimension ref="A1:BD347"/>
  <sheetViews>
    <sheetView showGridLines="0" tabSelected="1" topLeftCell="A269" zoomScale="97" zoomScaleNormal="90" workbookViewId="0">
      <pane ySplit="1425" activePane="bottomLeft"/>
      <selection activeCell="A269" sqref="A269"/>
      <selection pane="bottomLeft" activeCell="V141" sqref="V141"/>
    </sheetView>
  </sheetViews>
  <sheetFormatPr defaultColWidth="8.85546875" defaultRowHeight="15" x14ac:dyDescent="0.25"/>
  <cols>
    <col min="1" max="1" width="4.42578125" style="76" customWidth="1"/>
    <col min="2" max="2" width="16.140625" style="175" customWidth="1"/>
    <col min="3" max="3" width="23.7109375" customWidth="1"/>
    <col min="4" max="5" width="5.85546875" customWidth="1"/>
    <col min="6" max="7" width="6.42578125" customWidth="1"/>
    <col min="8" max="8" width="5.85546875" customWidth="1"/>
    <col min="9" max="9" width="6.28515625" customWidth="1"/>
    <col min="10" max="10" width="6.140625" customWidth="1"/>
    <col min="11" max="11" width="6.85546875" customWidth="1"/>
    <col min="12" max="15" width="6.42578125" customWidth="1"/>
    <col min="17" max="17" width="9.28515625" customWidth="1"/>
    <col min="18" max="18" width="8.7109375" customWidth="1"/>
    <col min="19" max="19" width="7.7109375" customWidth="1"/>
    <col min="20" max="20" width="7.42578125" customWidth="1"/>
    <col min="21" max="21" width="8.7109375" customWidth="1"/>
    <col min="22" max="22" width="13.85546875" customWidth="1"/>
    <col min="23" max="23" width="7.85546875" customWidth="1"/>
    <col min="24" max="24" width="15.140625" customWidth="1"/>
    <col min="25" max="25" width="9.140625" customWidth="1"/>
    <col min="26" max="27" width="6.85546875" customWidth="1"/>
    <col min="28" max="28" width="6.42578125" customWidth="1"/>
    <col min="29" max="29" width="7.42578125" customWidth="1"/>
    <col min="30" max="30" width="10.28515625" customWidth="1"/>
    <col min="31" max="31" width="12.85546875" customWidth="1"/>
    <col min="32" max="32" width="17.28515625" customWidth="1"/>
    <col min="33" max="33" width="11.140625" customWidth="1"/>
    <col min="34" max="34" width="9.42578125" customWidth="1"/>
    <col min="35" max="35" width="11.140625" customWidth="1"/>
    <col min="36" max="36" width="7.42578125" customWidth="1"/>
    <col min="37" max="37" width="9.7109375" customWidth="1"/>
    <col min="38" max="38" width="9.42578125" customWidth="1"/>
    <col min="39" max="39" width="16.140625" customWidth="1"/>
    <col min="40" max="40" width="34.140625" style="88" customWidth="1"/>
    <col min="41" max="41" width="8.85546875" style="83"/>
    <col min="42" max="42" width="24.140625" customWidth="1"/>
    <col min="43" max="43" width="10.85546875" customWidth="1"/>
    <col min="44" max="44" width="8.85546875" customWidth="1"/>
    <col min="45" max="45" width="8.140625" customWidth="1"/>
    <col min="46" max="46" width="11.140625" customWidth="1"/>
    <col min="47" max="47" width="11.28515625" customWidth="1"/>
    <col min="48" max="48" width="9.42578125" customWidth="1"/>
    <col min="49" max="49" width="10.7109375" customWidth="1"/>
    <col min="50" max="50" width="8" customWidth="1"/>
    <col min="51" max="51" width="10.28515625" customWidth="1"/>
    <col min="52" max="52" width="13" customWidth="1"/>
    <col min="53" max="53" width="8.85546875" customWidth="1"/>
    <col min="54" max="54" width="9.7109375" customWidth="1"/>
    <col min="55" max="55" width="12.28515625" customWidth="1"/>
    <col min="56" max="56" width="22.28515625" style="88" customWidth="1"/>
  </cols>
  <sheetData>
    <row r="1" spans="1:56" ht="21" x14ac:dyDescent="0.3">
      <c r="A1" s="328" t="s">
        <v>110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P1" s="285" t="s">
        <v>111</v>
      </c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</row>
    <row r="2" spans="1:56" ht="21" x14ac:dyDescent="0.3">
      <c r="A2" s="328" t="s">
        <v>112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P2" s="285" t="s">
        <v>113</v>
      </c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</row>
    <row r="3" spans="1:56" ht="15.75" thickBot="1" x14ac:dyDescent="0.3">
      <c r="A3" s="84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7"/>
    </row>
    <row r="4" spans="1:56" ht="15.75" customHeight="1" thickTop="1" x14ac:dyDescent="0.25">
      <c r="A4" s="329" t="s">
        <v>1</v>
      </c>
      <c r="B4" s="331" t="s">
        <v>2</v>
      </c>
      <c r="C4" s="333" t="s">
        <v>3</v>
      </c>
      <c r="D4" s="336" t="s">
        <v>41</v>
      </c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8"/>
      <c r="P4" s="324" t="s">
        <v>42</v>
      </c>
      <c r="Q4" s="339" t="s">
        <v>114</v>
      </c>
      <c r="R4" s="348" t="s">
        <v>115</v>
      </c>
      <c r="S4" s="348"/>
      <c r="T4" s="348"/>
      <c r="U4" s="348"/>
      <c r="V4" s="348"/>
      <c r="W4" s="348"/>
      <c r="X4" s="324" t="s">
        <v>116</v>
      </c>
      <c r="Y4" s="349" t="s">
        <v>117</v>
      </c>
      <c r="Z4" s="349"/>
      <c r="AA4" s="349"/>
      <c r="AB4" s="349"/>
      <c r="AC4" s="349"/>
      <c r="AD4" s="324" t="s">
        <v>118</v>
      </c>
      <c r="AE4" s="326" t="s">
        <v>119</v>
      </c>
      <c r="AF4" s="326" t="s">
        <v>120</v>
      </c>
      <c r="AG4" s="353" t="s">
        <v>121</v>
      </c>
      <c r="AH4" s="355" t="s">
        <v>122</v>
      </c>
      <c r="AI4" s="355" t="s">
        <v>123</v>
      </c>
      <c r="AJ4" s="355" t="s">
        <v>124</v>
      </c>
      <c r="AK4" s="355" t="s">
        <v>125</v>
      </c>
      <c r="AL4" s="355" t="s">
        <v>126</v>
      </c>
      <c r="AM4" s="360" t="s">
        <v>127</v>
      </c>
      <c r="AN4" s="362" t="s">
        <v>128</v>
      </c>
      <c r="AP4" s="358" t="s">
        <v>3</v>
      </c>
      <c r="AQ4" s="359" t="s">
        <v>129</v>
      </c>
      <c r="AR4" s="350" t="s">
        <v>130</v>
      </c>
      <c r="AS4" s="350" t="s">
        <v>131</v>
      </c>
      <c r="AT4" s="350" t="s">
        <v>132</v>
      </c>
      <c r="AU4" s="351" t="s">
        <v>133</v>
      </c>
      <c r="AV4" s="352" t="s">
        <v>107</v>
      </c>
      <c r="AW4" s="341" t="s">
        <v>134</v>
      </c>
      <c r="AX4" s="341" t="s">
        <v>135</v>
      </c>
      <c r="AY4" s="341" t="s">
        <v>136</v>
      </c>
      <c r="AZ4" s="341" t="s">
        <v>109</v>
      </c>
      <c r="BA4" s="351" t="s">
        <v>137</v>
      </c>
      <c r="BB4" s="327" t="s">
        <v>119</v>
      </c>
      <c r="BC4" s="327" t="s">
        <v>120</v>
      </c>
      <c r="BD4" s="364" t="s">
        <v>128</v>
      </c>
    </row>
    <row r="5" spans="1:56" ht="25.5" x14ac:dyDescent="0.25">
      <c r="A5" s="330"/>
      <c r="B5" s="332"/>
      <c r="C5" s="334"/>
      <c r="D5" s="89" t="s">
        <v>43</v>
      </c>
      <c r="E5" s="89" t="s">
        <v>44</v>
      </c>
      <c r="F5" s="89" t="s">
        <v>45</v>
      </c>
      <c r="G5" s="89" t="s">
        <v>46</v>
      </c>
      <c r="H5" s="89" t="s">
        <v>47</v>
      </c>
      <c r="I5" s="89" t="s">
        <v>48</v>
      </c>
      <c r="J5" s="89" t="s">
        <v>49</v>
      </c>
      <c r="K5" s="89" t="s">
        <v>50</v>
      </c>
      <c r="L5" s="89" t="s">
        <v>51</v>
      </c>
      <c r="M5" s="89" t="s">
        <v>52</v>
      </c>
      <c r="N5" s="89" t="s">
        <v>53</v>
      </c>
      <c r="O5" s="89" t="s">
        <v>54</v>
      </c>
      <c r="P5" s="325"/>
      <c r="Q5" s="340"/>
      <c r="R5" s="93" t="s">
        <v>138</v>
      </c>
      <c r="S5" s="93" t="s">
        <v>139</v>
      </c>
      <c r="T5" s="93" t="s">
        <v>140</v>
      </c>
      <c r="U5" s="93" t="s">
        <v>141</v>
      </c>
      <c r="V5" s="93" t="s">
        <v>142</v>
      </c>
      <c r="W5" s="93" t="s">
        <v>143</v>
      </c>
      <c r="X5" s="325"/>
      <c r="Y5" s="94" t="s">
        <v>107</v>
      </c>
      <c r="Z5" s="92" t="s">
        <v>134</v>
      </c>
      <c r="AA5" s="92" t="s">
        <v>135</v>
      </c>
      <c r="AB5" s="92" t="s">
        <v>136</v>
      </c>
      <c r="AC5" s="92" t="s">
        <v>109</v>
      </c>
      <c r="AD5" s="325"/>
      <c r="AE5" s="327"/>
      <c r="AF5" s="327"/>
      <c r="AG5" s="354"/>
      <c r="AH5" s="356"/>
      <c r="AI5" s="356"/>
      <c r="AJ5" s="357"/>
      <c r="AK5" s="357"/>
      <c r="AL5" s="357"/>
      <c r="AM5" s="361"/>
      <c r="AN5" s="363"/>
      <c r="AP5" s="358"/>
      <c r="AQ5" s="359"/>
      <c r="AR5" s="350"/>
      <c r="AS5" s="350"/>
      <c r="AT5" s="350"/>
      <c r="AU5" s="351"/>
      <c r="AV5" s="352"/>
      <c r="AW5" s="341"/>
      <c r="AX5" s="341"/>
      <c r="AY5" s="341"/>
      <c r="AZ5" s="341"/>
      <c r="BA5" s="351"/>
      <c r="BB5" s="327"/>
      <c r="BC5" s="327"/>
      <c r="BD5" s="364"/>
    </row>
    <row r="6" spans="1:56" ht="26.25" thickBot="1" x14ac:dyDescent="0.3">
      <c r="A6" s="330"/>
      <c r="B6" s="332"/>
      <c r="C6" s="335"/>
      <c r="D6" s="96">
        <f>SUM(A2)</f>
        <v>0</v>
      </c>
      <c r="E6" s="96" t="s">
        <v>55</v>
      </c>
      <c r="F6" s="96" t="s">
        <v>55</v>
      </c>
      <c r="G6" s="96" t="s">
        <v>55</v>
      </c>
      <c r="H6" s="96" t="s">
        <v>55</v>
      </c>
      <c r="I6" s="96" t="s">
        <v>55</v>
      </c>
      <c r="J6" s="96" t="s">
        <v>55</v>
      </c>
      <c r="K6" s="96" t="s">
        <v>55</v>
      </c>
      <c r="L6" s="96" t="s">
        <v>55</v>
      </c>
      <c r="M6" s="96" t="s">
        <v>55</v>
      </c>
      <c r="N6" s="96" t="s">
        <v>55</v>
      </c>
      <c r="O6" s="96" t="s">
        <v>55</v>
      </c>
      <c r="P6" s="97" t="s">
        <v>55</v>
      </c>
      <c r="Q6" s="98" t="s">
        <v>144</v>
      </c>
      <c r="R6" s="99" t="s">
        <v>55</v>
      </c>
      <c r="S6" s="99" t="s">
        <v>55</v>
      </c>
      <c r="T6" s="99" t="s">
        <v>55</v>
      </c>
      <c r="U6" s="99" t="s">
        <v>55</v>
      </c>
      <c r="V6" s="99" t="s">
        <v>55</v>
      </c>
      <c r="W6" s="99" t="s">
        <v>55</v>
      </c>
      <c r="X6" s="100" t="s">
        <v>55</v>
      </c>
      <c r="Y6" s="101" t="s">
        <v>55</v>
      </c>
      <c r="Z6" s="101" t="s">
        <v>55</v>
      </c>
      <c r="AA6" s="101" t="s">
        <v>55</v>
      </c>
      <c r="AB6" s="101" t="s">
        <v>55</v>
      </c>
      <c r="AC6" s="101" t="s">
        <v>55</v>
      </c>
      <c r="AD6" s="100" t="s">
        <v>55</v>
      </c>
      <c r="AE6" s="102" t="s">
        <v>145</v>
      </c>
      <c r="AF6" s="102" t="s">
        <v>146</v>
      </c>
      <c r="AG6" s="102" t="s">
        <v>146</v>
      </c>
      <c r="AH6" s="102" t="s">
        <v>146</v>
      </c>
      <c r="AI6" s="102" t="s">
        <v>147</v>
      </c>
      <c r="AJ6" s="102" t="s">
        <v>147</v>
      </c>
      <c r="AK6" s="102" t="s">
        <v>147</v>
      </c>
      <c r="AL6" s="102" t="s">
        <v>146</v>
      </c>
      <c r="AM6" s="361"/>
      <c r="AN6" s="95" t="s">
        <v>55</v>
      </c>
      <c r="AP6" s="358"/>
      <c r="AQ6" s="359"/>
      <c r="AR6" s="350"/>
      <c r="AS6" s="350"/>
      <c r="AT6" s="350"/>
      <c r="AU6" s="351"/>
      <c r="AV6" s="352"/>
      <c r="AW6" s="341"/>
      <c r="AX6" s="341"/>
      <c r="AY6" s="341"/>
      <c r="AZ6" s="341"/>
      <c r="BA6" s="351"/>
      <c r="BB6" s="327"/>
      <c r="BC6" s="327"/>
      <c r="BD6" s="364"/>
    </row>
    <row r="7" spans="1:56" ht="16.5" thickTop="1" thickBot="1" x14ac:dyDescent="0.3">
      <c r="A7" s="103">
        <v>1</v>
      </c>
      <c r="B7" s="104">
        <v>2</v>
      </c>
      <c r="C7" s="105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7">
        <v>16</v>
      </c>
      <c r="Q7" s="106">
        <v>17</v>
      </c>
      <c r="R7" s="106">
        <v>18</v>
      </c>
      <c r="S7" s="106">
        <v>19</v>
      </c>
      <c r="T7" s="106">
        <v>20</v>
      </c>
      <c r="U7" s="106">
        <v>21</v>
      </c>
      <c r="V7" s="106">
        <v>22</v>
      </c>
      <c r="W7" s="106">
        <v>23</v>
      </c>
      <c r="X7" s="107">
        <v>24</v>
      </c>
      <c r="Y7" s="106">
        <v>25</v>
      </c>
      <c r="Z7" s="106">
        <v>26</v>
      </c>
      <c r="AA7" s="106">
        <v>27</v>
      </c>
      <c r="AB7" s="106">
        <v>28</v>
      </c>
      <c r="AC7" s="106">
        <v>29</v>
      </c>
      <c r="AD7" s="107">
        <v>30</v>
      </c>
      <c r="AE7" s="106">
        <v>31</v>
      </c>
      <c r="AF7" s="106">
        <v>32</v>
      </c>
      <c r="AG7" s="106">
        <v>33</v>
      </c>
      <c r="AH7" s="106">
        <v>34</v>
      </c>
      <c r="AI7" s="106">
        <v>35</v>
      </c>
      <c r="AJ7" s="108">
        <v>36</v>
      </c>
      <c r="AK7" s="108">
        <v>37</v>
      </c>
      <c r="AL7" s="108">
        <v>38</v>
      </c>
      <c r="AM7" s="109">
        <v>39</v>
      </c>
      <c r="AN7" s="110">
        <v>40</v>
      </c>
      <c r="AP7" s="111"/>
      <c r="AQ7" s="111"/>
      <c r="AR7" s="111"/>
      <c r="AS7" s="111"/>
      <c r="AT7" s="111"/>
      <c r="AU7" s="112"/>
      <c r="AV7" s="111"/>
      <c r="AW7" s="111"/>
      <c r="AX7" s="111"/>
      <c r="AY7" s="111"/>
      <c r="AZ7" s="111"/>
      <c r="BA7" s="112"/>
      <c r="BB7" s="111"/>
      <c r="BC7" s="111"/>
      <c r="BD7" s="113"/>
    </row>
    <row r="8" spans="1:56" x14ac:dyDescent="0.25">
      <c r="A8" s="342">
        <v>1</v>
      </c>
      <c r="B8" s="345" t="s">
        <v>16</v>
      </c>
      <c r="C8" s="114" t="s">
        <v>56</v>
      </c>
      <c r="D8" s="115"/>
      <c r="E8" s="116"/>
      <c r="F8" s="115"/>
      <c r="G8" s="116"/>
      <c r="H8" s="116"/>
      <c r="I8" s="117"/>
      <c r="J8" s="118">
        <v>2</v>
      </c>
      <c r="K8" s="115"/>
      <c r="L8" s="115"/>
      <c r="M8" s="115"/>
      <c r="N8" s="115"/>
      <c r="O8" s="115"/>
      <c r="P8" s="119">
        <f t="shared" ref="P8:P71" si="0">SUM(D8:O8)</f>
        <v>2</v>
      </c>
      <c r="Q8" s="118">
        <v>11</v>
      </c>
      <c r="R8" s="115"/>
      <c r="S8" s="115"/>
      <c r="T8" s="115"/>
      <c r="U8" s="115"/>
      <c r="V8" s="115"/>
      <c r="W8" s="115"/>
      <c r="X8" s="119">
        <f>SUM(R8:W8)</f>
        <v>0</v>
      </c>
      <c r="Y8" s="117"/>
      <c r="Z8" s="117"/>
      <c r="AA8" s="117"/>
      <c r="AB8" s="117"/>
      <c r="AC8" s="117"/>
      <c r="AD8" s="119">
        <f>SUM(Y8:AC8)</f>
        <v>0</v>
      </c>
      <c r="AE8" s="117"/>
      <c r="AF8" s="117"/>
      <c r="AG8" s="117"/>
      <c r="AH8" s="117"/>
      <c r="AI8" s="117"/>
      <c r="AJ8" s="117"/>
      <c r="AK8" s="117"/>
      <c r="AL8" s="117"/>
      <c r="AM8" s="119">
        <f t="shared" ref="AM8:AM83" si="1">SUM(AD8,X8)</f>
        <v>0</v>
      </c>
      <c r="AN8" s="120"/>
      <c r="AP8" s="121" t="s">
        <v>56</v>
      </c>
      <c r="AQ8" s="111">
        <f t="shared" ref="AQ8:AQ19" si="2">P8+P20+P32+P44+P56+P68+P80+P92+P104+P116+P128+P140+P152+P164+P176+P188+P200+P212+P224+P236+P248+P260+P272+P284</f>
        <v>73</v>
      </c>
      <c r="AR8" s="111">
        <f t="shared" ref="AR8:AS19" si="3">R8+R20+R32+R44+R56+R68+R80+R92+R104+R116+R128+R140+R152+R164+R176+R188+R200+R212+R224+R236+R248+R260+R272+R284</f>
        <v>3</v>
      </c>
      <c r="AS8" s="111">
        <f t="shared" si="3"/>
        <v>0</v>
      </c>
      <c r="AT8" s="111">
        <f t="shared" ref="AT8:AT19" si="4">W8+W20+W32+W44+W56+W68+W80+W92+W104+W116+W128+W140+W152+W164+W176+W188+W200+W212+W224+W236+W248+W260+W272+W284</f>
        <v>721</v>
      </c>
      <c r="AU8" s="112">
        <f>SUM(AR8:AT8)</f>
        <v>724</v>
      </c>
      <c r="AV8" s="111">
        <f t="shared" ref="AV8:AZ19" si="5">Y8+Y20+Y32+Y44+Y56+Y68+Y80+Y92+Y104+Y116+Y128+Y140+Y152+Y164+Y176+Y188+Y200+Y212+Y224+Y236+Y248+Y260+Y272+Y284</f>
        <v>12198</v>
      </c>
      <c r="AW8" s="111">
        <f t="shared" si="5"/>
        <v>59</v>
      </c>
      <c r="AX8" s="111">
        <f t="shared" si="5"/>
        <v>47</v>
      </c>
      <c r="AY8" s="111">
        <f t="shared" si="5"/>
        <v>20</v>
      </c>
      <c r="AZ8" s="111">
        <f t="shared" si="5"/>
        <v>11</v>
      </c>
      <c r="BA8" s="112">
        <f>SUM(AW8:AZ8)</f>
        <v>137</v>
      </c>
      <c r="BB8" s="111">
        <f t="shared" ref="BB8:BC19" si="6">AE8+AE20+AE32+AE44+AE56+AE68+AE80+AE92+AE104+AE116+AE128+AE140+AE152+AE164+AE176+AE188+AE200+AE212+AE224+AE236+AE248+AE260+AE272+AE284</f>
        <v>5656.5</v>
      </c>
      <c r="BC8" s="111">
        <f t="shared" si="6"/>
        <v>15186.15</v>
      </c>
      <c r="BD8" s="113">
        <f t="shared" ref="BD8:BD19" si="7">AN8+AN20+AN32+AN44+AN56+AN68+AN80+AN92+AN104+AN116+AN128+AN140+AN152+AN164+AN176+AN188+AN200+AN212+AN224+AN236+AN248+AN260+AN272+AN284</f>
        <v>17432585940</v>
      </c>
    </row>
    <row r="9" spans="1:56" x14ac:dyDescent="0.25">
      <c r="A9" s="343"/>
      <c r="B9" s="346"/>
      <c r="C9" s="122" t="s">
        <v>57</v>
      </c>
      <c r="D9" s="123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5">
        <f t="shared" si="0"/>
        <v>0</v>
      </c>
      <c r="Q9" s="126"/>
      <c r="R9" s="126"/>
      <c r="S9" s="126"/>
      <c r="T9" s="126"/>
      <c r="U9" s="126"/>
      <c r="V9" s="126"/>
      <c r="W9" s="126"/>
      <c r="X9" s="125">
        <f t="shared" ref="X9:X64" si="8">SUM(R9:W9)</f>
        <v>0</v>
      </c>
      <c r="Y9" s="123"/>
      <c r="Z9" s="123"/>
      <c r="AA9" s="123"/>
      <c r="AB9" s="123"/>
      <c r="AC9" s="123"/>
      <c r="AD9" s="125">
        <f t="shared" ref="AD9:AD72" si="9">SUM(Y9:AC9)</f>
        <v>0</v>
      </c>
      <c r="AE9" s="123"/>
      <c r="AF9" s="127">
        <v>0</v>
      </c>
      <c r="AG9" s="123"/>
      <c r="AH9" s="123"/>
      <c r="AI9" s="123"/>
      <c r="AJ9" s="123"/>
      <c r="AK9" s="123"/>
      <c r="AL9" s="123"/>
      <c r="AM9" s="125">
        <f t="shared" si="1"/>
        <v>0</v>
      </c>
      <c r="AN9" s="128"/>
      <c r="AP9" s="121" t="s">
        <v>57</v>
      </c>
      <c r="AQ9" s="111">
        <f t="shared" si="2"/>
        <v>0</v>
      </c>
      <c r="AR9" s="111">
        <f t="shared" si="3"/>
        <v>0</v>
      </c>
      <c r="AS9" s="111">
        <f t="shared" si="3"/>
        <v>0</v>
      </c>
      <c r="AT9" s="111">
        <f t="shared" si="4"/>
        <v>0</v>
      </c>
      <c r="AU9" s="112">
        <f t="shared" ref="AU9:AU19" si="10">SUM(AR9:AT9)</f>
        <v>0</v>
      </c>
      <c r="AV9" s="111">
        <f t="shared" si="5"/>
        <v>0</v>
      </c>
      <c r="AW9" s="111">
        <f t="shared" si="5"/>
        <v>0</v>
      </c>
      <c r="AX9" s="111">
        <f t="shared" si="5"/>
        <v>0</v>
      </c>
      <c r="AY9" s="111">
        <f t="shared" si="5"/>
        <v>0</v>
      </c>
      <c r="AZ9" s="111">
        <f t="shared" si="5"/>
        <v>0</v>
      </c>
      <c r="BA9" s="112">
        <f t="shared" ref="BA9:BA19" si="11">SUM(AW9:AZ9)</f>
        <v>0</v>
      </c>
      <c r="BB9" s="111">
        <f t="shared" si="6"/>
        <v>0</v>
      </c>
      <c r="BC9" s="111">
        <f t="shared" si="6"/>
        <v>0</v>
      </c>
      <c r="BD9" s="113">
        <f t="shared" si="7"/>
        <v>0</v>
      </c>
    </row>
    <row r="10" spans="1:56" x14ac:dyDescent="0.25">
      <c r="A10" s="343"/>
      <c r="B10" s="346"/>
      <c r="C10" s="122" t="s">
        <v>58</v>
      </c>
      <c r="D10" s="126"/>
      <c r="E10" s="126"/>
      <c r="F10" s="123"/>
      <c r="G10" s="123"/>
      <c r="H10" s="123"/>
      <c r="I10" s="123"/>
      <c r="J10" s="129">
        <v>1</v>
      </c>
      <c r="K10" s="126"/>
      <c r="L10" s="126"/>
      <c r="M10" s="126"/>
      <c r="N10" s="126"/>
      <c r="O10" s="126"/>
      <c r="P10" s="125">
        <f t="shared" si="0"/>
        <v>1</v>
      </c>
      <c r="Q10" s="129">
        <v>2</v>
      </c>
      <c r="R10" s="126"/>
      <c r="S10" s="126"/>
      <c r="T10" s="126"/>
      <c r="U10" s="126"/>
      <c r="V10" s="126"/>
      <c r="W10" s="126"/>
      <c r="X10" s="125">
        <f t="shared" si="8"/>
        <v>0</v>
      </c>
      <c r="Y10" s="123"/>
      <c r="Z10" s="123"/>
      <c r="AA10" s="123"/>
      <c r="AB10" s="123"/>
      <c r="AC10" s="123"/>
      <c r="AD10" s="125">
        <f t="shared" si="9"/>
        <v>0</v>
      </c>
      <c r="AE10" s="123"/>
      <c r="AF10" s="123"/>
      <c r="AG10" s="123"/>
      <c r="AH10" s="123"/>
      <c r="AI10" s="123"/>
      <c r="AJ10" s="123"/>
      <c r="AK10" s="123"/>
      <c r="AL10" s="123"/>
      <c r="AM10" s="125">
        <f t="shared" si="1"/>
        <v>0</v>
      </c>
      <c r="AN10" s="128"/>
      <c r="AP10" s="130" t="s">
        <v>58</v>
      </c>
      <c r="AQ10" s="131">
        <f t="shared" si="2"/>
        <v>90</v>
      </c>
      <c r="AR10" s="131">
        <f t="shared" si="3"/>
        <v>0</v>
      </c>
      <c r="AS10" s="131">
        <f t="shared" si="3"/>
        <v>4</v>
      </c>
      <c r="AT10" s="131">
        <f t="shared" si="4"/>
        <v>118</v>
      </c>
      <c r="AU10" s="132">
        <f t="shared" si="10"/>
        <v>122</v>
      </c>
      <c r="AV10" s="131">
        <f t="shared" si="5"/>
        <v>126</v>
      </c>
      <c r="AW10" s="131">
        <f t="shared" si="5"/>
        <v>3</v>
      </c>
      <c r="AX10" s="131">
        <f t="shared" si="5"/>
        <v>1</v>
      </c>
      <c r="AY10" s="131">
        <f t="shared" si="5"/>
        <v>0</v>
      </c>
      <c r="AZ10" s="131">
        <f t="shared" si="5"/>
        <v>1</v>
      </c>
      <c r="BA10" s="132">
        <f t="shared" si="11"/>
        <v>5</v>
      </c>
      <c r="BB10" s="131">
        <f t="shared" si="6"/>
        <v>645</v>
      </c>
      <c r="BC10" s="131">
        <f t="shared" si="6"/>
        <v>1</v>
      </c>
      <c r="BD10" s="133">
        <f t="shared" si="7"/>
        <v>13269760000</v>
      </c>
    </row>
    <row r="11" spans="1:56" ht="17.25" customHeight="1" x14ac:dyDescent="0.25">
      <c r="A11" s="343"/>
      <c r="B11" s="346"/>
      <c r="C11" s="122" t="s">
        <v>59</v>
      </c>
      <c r="D11" s="123"/>
      <c r="E11" s="126"/>
      <c r="F11" s="123"/>
      <c r="G11" s="123"/>
      <c r="H11" s="123"/>
      <c r="I11" s="123"/>
      <c r="J11" s="126"/>
      <c r="K11" s="126"/>
      <c r="L11" s="126"/>
      <c r="M11" s="126"/>
      <c r="N11" s="126"/>
      <c r="O11" s="126"/>
      <c r="P11" s="125">
        <f t="shared" si="0"/>
        <v>0</v>
      </c>
      <c r="Q11" s="126"/>
      <c r="R11" s="126"/>
      <c r="S11" s="126"/>
      <c r="T11" s="126"/>
      <c r="U11" s="126"/>
      <c r="V11" s="126"/>
      <c r="W11" s="126"/>
      <c r="X11" s="125">
        <f t="shared" si="8"/>
        <v>0</v>
      </c>
      <c r="Y11" s="123"/>
      <c r="Z11" s="123"/>
      <c r="AA11" s="123"/>
      <c r="AB11" s="123"/>
      <c r="AC11" s="123"/>
      <c r="AD11" s="125">
        <f t="shared" si="9"/>
        <v>0</v>
      </c>
      <c r="AE11" s="123"/>
      <c r="AF11" s="123"/>
      <c r="AG11" s="123"/>
      <c r="AH11" s="123"/>
      <c r="AI11" s="123"/>
      <c r="AJ11" s="123"/>
      <c r="AK11" s="123"/>
      <c r="AL11" s="123"/>
      <c r="AM11" s="125">
        <f t="shared" si="1"/>
        <v>0</v>
      </c>
      <c r="AN11" s="128"/>
      <c r="AP11" s="130" t="s">
        <v>59</v>
      </c>
      <c r="AQ11" s="131">
        <f t="shared" si="2"/>
        <v>2</v>
      </c>
      <c r="AR11" s="131">
        <f t="shared" si="3"/>
        <v>0</v>
      </c>
      <c r="AS11" s="131">
        <f t="shared" si="3"/>
        <v>0</v>
      </c>
      <c r="AT11" s="131">
        <f t="shared" si="4"/>
        <v>0</v>
      </c>
      <c r="AU11" s="132">
        <f t="shared" si="10"/>
        <v>0</v>
      </c>
      <c r="AV11" s="131">
        <f t="shared" si="5"/>
        <v>15</v>
      </c>
      <c r="AW11" s="131">
        <f t="shared" si="5"/>
        <v>0</v>
      </c>
      <c r="AX11" s="131">
        <f t="shared" si="5"/>
        <v>0</v>
      </c>
      <c r="AY11" s="131">
        <f t="shared" si="5"/>
        <v>0</v>
      </c>
      <c r="AZ11" s="131">
        <f t="shared" si="5"/>
        <v>0</v>
      </c>
      <c r="BA11" s="132">
        <f t="shared" si="11"/>
        <v>0</v>
      </c>
      <c r="BB11" s="131">
        <f t="shared" si="6"/>
        <v>0</v>
      </c>
      <c r="BC11" s="131">
        <f t="shared" si="6"/>
        <v>0</v>
      </c>
      <c r="BD11" s="133">
        <f t="shared" si="7"/>
        <v>0</v>
      </c>
    </row>
    <row r="12" spans="1:56" x14ac:dyDescent="0.25">
      <c r="A12" s="343"/>
      <c r="B12" s="346"/>
      <c r="C12" s="122" t="s">
        <v>60</v>
      </c>
      <c r="D12" s="123"/>
      <c r="E12" s="126"/>
      <c r="F12" s="123"/>
      <c r="G12" s="123"/>
      <c r="H12" s="123"/>
      <c r="I12" s="123"/>
      <c r="J12" s="126"/>
      <c r="K12" s="126"/>
      <c r="L12" s="126"/>
      <c r="M12" s="126"/>
      <c r="N12" s="126"/>
      <c r="O12" s="126"/>
      <c r="P12" s="125">
        <f t="shared" si="0"/>
        <v>0</v>
      </c>
      <c r="Q12" s="126"/>
      <c r="R12" s="126"/>
      <c r="S12" s="126"/>
      <c r="T12" s="126"/>
      <c r="U12" s="126"/>
      <c r="V12" s="126"/>
      <c r="W12" s="126"/>
      <c r="X12" s="125">
        <f t="shared" si="8"/>
        <v>0</v>
      </c>
      <c r="Y12" s="123"/>
      <c r="Z12" s="123"/>
      <c r="AA12" s="123"/>
      <c r="AB12" s="123"/>
      <c r="AC12" s="123"/>
      <c r="AD12" s="125">
        <f t="shared" si="9"/>
        <v>0</v>
      </c>
      <c r="AE12" s="123"/>
      <c r="AF12" s="123"/>
      <c r="AG12" s="123"/>
      <c r="AH12" s="123"/>
      <c r="AI12" s="123"/>
      <c r="AJ12" s="123"/>
      <c r="AK12" s="123"/>
      <c r="AL12" s="123"/>
      <c r="AM12" s="125">
        <f t="shared" si="1"/>
        <v>0</v>
      </c>
      <c r="AN12" s="128"/>
      <c r="AP12" s="121" t="s">
        <v>60</v>
      </c>
      <c r="AQ12" s="111">
        <f t="shared" si="2"/>
        <v>0</v>
      </c>
      <c r="AR12" s="111">
        <f t="shared" si="3"/>
        <v>0</v>
      </c>
      <c r="AS12" s="111">
        <f t="shared" si="3"/>
        <v>0</v>
      </c>
      <c r="AT12" s="111">
        <f t="shared" si="4"/>
        <v>0</v>
      </c>
      <c r="AU12" s="112">
        <f t="shared" si="10"/>
        <v>0</v>
      </c>
      <c r="AV12" s="111">
        <f t="shared" si="5"/>
        <v>0</v>
      </c>
      <c r="AW12" s="111">
        <f t="shared" si="5"/>
        <v>0</v>
      </c>
      <c r="AX12" s="111">
        <f t="shared" si="5"/>
        <v>0</v>
      </c>
      <c r="AY12" s="111">
        <f t="shared" si="5"/>
        <v>0</v>
      </c>
      <c r="AZ12" s="111">
        <f t="shared" si="5"/>
        <v>0</v>
      </c>
      <c r="BA12" s="112">
        <f t="shared" si="11"/>
        <v>0</v>
      </c>
      <c r="BB12" s="111">
        <f t="shared" si="6"/>
        <v>0</v>
      </c>
      <c r="BC12" s="111">
        <f t="shared" si="6"/>
        <v>0</v>
      </c>
      <c r="BD12" s="113">
        <f t="shared" si="7"/>
        <v>0</v>
      </c>
    </row>
    <row r="13" spans="1:56" x14ac:dyDescent="0.25">
      <c r="A13" s="343"/>
      <c r="B13" s="346"/>
      <c r="C13" s="122" t="s">
        <v>61</v>
      </c>
      <c r="D13" s="126"/>
      <c r="E13" s="123"/>
      <c r="F13" s="123"/>
      <c r="G13" s="129">
        <v>1</v>
      </c>
      <c r="H13" s="123"/>
      <c r="I13" s="126"/>
      <c r="J13" s="129">
        <v>1</v>
      </c>
      <c r="K13" s="123"/>
      <c r="L13" s="123"/>
      <c r="M13" s="123"/>
      <c r="N13" s="123"/>
      <c r="O13" s="123"/>
      <c r="P13" s="125">
        <f t="shared" si="0"/>
        <v>2</v>
      </c>
      <c r="Q13" s="123"/>
      <c r="R13" s="123"/>
      <c r="S13" s="123"/>
      <c r="T13" s="123"/>
      <c r="U13" s="123"/>
      <c r="V13" s="123"/>
      <c r="W13" s="126"/>
      <c r="X13" s="125">
        <f t="shared" si="8"/>
        <v>0</v>
      </c>
      <c r="Y13" s="123"/>
      <c r="Z13" s="123"/>
      <c r="AA13" s="123"/>
      <c r="AB13" s="123"/>
      <c r="AC13" s="123"/>
      <c r="AD13" s="125">
        <f t="shared" si="9"/>
        <v>0</v>
      </c>
      <c r="AE13" s="123"/>
      <c r="AF13" s="123"/>
      <c r="AG13" s="123"/>
      <c r="AH13" s="123"/>
      <c r="AI13" s="123"/>
      <c r="AJ13" s="123"/>
      <c r="AK13" s="123"/>
      <c r="AL13" s="123"/>
      <c r="AM13" s="125">
        <f t="shared" si="1"/>
        <v>0</v>
      </c>
      <c r="AN13" s="128"/>
      <c r="AP13" s="134" t="s">
        <v>61</v>
      </c>
      <c r="AQ13" s="135">
        <f t="shared" si="2"/>
        <v>5</v>
      </c>
      <c r="AR13" s="135">
        <f t="shared" si="3"/>
        <v>0</v>
      </c>
      <c r="AS13" s="135">
        <f t="shared" si="3"/>
        <v>0</v>
      </c>
      <c r="AT13" s="135">
        <f t="shared" si="4"/>
        <v>0</v>
      </c>
      <c r="AU13" s="136">
        <f t="shared" si="10"/>
        <v>0</v>
      </c>
      <c r="AV13" s="135">
        <f t="shared" si="5"/>
        <v>0</v>
      </c>
      <c r="AW13" s="135">
        <f t="shared" si="5"/>
        <v>0</v>
      </c>
      <c r="AX13" s="135">
        <f t="shared" si="5"/>
        <v>0</v>
      </c>
      <c r="AY13" s="135">
        <f t="shared" si="5"/>
        <v>0</v>
      </c>
      <c r="AZ13" s="135">
        <f t="shared" si="5"/>
        <v>0</v>
      </c>
      <c r="BA13" s="136">
        <f t="shared" si="11"/>
        <v>0</v>
      </c>
      <c r="BB13" s="135">
        <f t="shared" si="6"/>
        <v>0</v>
      </c>
      <c r="BC13" s="135">
        <f t="shared" si="6"/>
        <v>0</v>
      </c>
      <c r="BD13" s="137">
        <f t="shared" si="7"/>
        <v>0</v>
      </c>
    </row>
    <row r="14" spans="1:56" ht="17.25" customHeight="1" x14ac:dyDescent="0.25">
      <c r="A14" s="343"/>
      <c r="B14" s="346"/>
      <c r="C14" s="122" t="s">
        <v>62</v>
      </c>
      <c r="D14" s="129">
        <v>1</v>
      </c>
      <c r="E14" s="129">
        <v>1</v>
      </c>
      <c r="F14" s="123"/>
      <c r="G14" s="129">
        <v>2</v>
      </c>
      <c r="H14" s="123"/>
      <c r="I14" s="129">
        <v>1</v>
      </c>
      <c r="J14" s="129">
        <v>1</v>
      </c>
      <c r="K14" s="129">
        <v>2</v>
      </c>
      <c r="L14" s="129">
        <v>3</v>
      </c>
      <c r="M14" s="129">
        <v>1</v>
      </c>
      <c r="N14" s="123"/>
      <c r="O14" s="123"/>
      <c r="P14" s="125">
        <f t="shared" si="0"/>
        <v>12</v>
      </c>
      <c r="Q14" s="129">
        <f>1+2+1+1+3+1+1</f>
        <v>10</v>
      </c>
      <c r="R14" s="123"/>
      <c r="S14" s="129">
        <v>1</v>
      </c>
      <c r="T14" s="123"/>
      <c r="U14" s="123"/>
      <c r="V14" s="129">
        <f>1+3+4</f>
        <v>8</v>
      </c>
      <c r="W14" s="129">
        <v>6</v>
      </c>
      <c r="X14" s="125">
        <f t="shared" si="8"/>
        <v>15</v>
      </c>
      <c r="Y14" s="129">
        <f>1+1+1+1+3+1+1</f>
        <v>9</v>
      </c>
      <c r="Z14" s="123"/>
      <c r="AA14" s="123"/>
      <c r="AB14" s="123"/>
      <c r="AC14" s="123"/>
      <c r="AD14" s="125">
        <f t="shared" si="9"/>
        <v>9</v>
      </c>
      <c r="AE14" s="123"/>
      <c r="AF14" s="123"/>
      <c r="AG14" s="123"/>
      <c r="AH14" s="123"/>
      <c r="AI14" s="123"/>
      <c r="AJ14" s="123"/>
      <c r="AK14" s="129">
        <v>1</v>
      </c>
      <c r="AL14" s="123"/>
      <c r="AM14" s="125">
        <f t="shared" si="1"/>
        <v>24</v>
      </c>
      <c r="AN14" s="138">
        <f>50000000+50000000+300000000+10000000+1000000000+45000000</f>
        <v>1455000000</v>
      </c>
      <c r="AP14" s="121" t="s">
        <v>62</v>
      </c>
      <c r="AQ14" s="111">
        <f t="shared" si="2"/>
        <v>350</v>
      </c>
      <c r="AR14" s="111">
        <f t="shared" si="3"/>
        <v>13</v>
      </c>
      <c r="AS14" s="111">
        <f t="shared" si="3"/>
        <v>25</v>
      </c>
      <c r="AT14" s="111">
        <f t="shared" si="4"/>
        <v>84</v>
      </c>
      <c r="AU14" s="112">
        <f t="shared" si="10"/>
        <v>122</v>
      </c>
      <c r="AV14" s="111">
        <f t="shared" si="5"/>
        <v>670</v>
      </c>
      <c r="AW14" s="111">
        <f t="shared" si="5"/>
        <v>3</v>
      </c>
      <c r="AX14" s="111">
        <f t="shared" si="5"/>
        <v>1</v>
      </c>
      <c r="AY14" s="111">
        <f t="shared" si="5"/>
        <v>0</v>
      </c>
      <c r="AZ14" s="111">
        <f t="shared" si="5"/>
        <v>0</v>
      </c>
      <c r="BA14" s="112">
        <f t="shared" si="11"/>
        <v>4</v>
      </c>
      <c r="BB14" s="111">
        <f t="shared" si="6"/>
        <v>0</v>
      </c>
      <c r="BC14" s="111">
        <f t="shared" si="6"/>
        <v>1</v>
      </c>
      <c r="BD14" s="113">
        <f t="shared" si="7"/>
        <v>38970360000</v>
      </c>
    </row>
    <row r="15" spans="1:56" x14ac:dyDescent="0.25">
      <c r="A15" s="343"/>
      <c r="B15" s="346"/>
      <c r="C15" s="122" t="s">
        <v>63</v>
      </c>
      <c r="D15" s="129">
        <v>3</v>
      </c>
      <c r="E15" s="129">
        <v>6</v>
      </c>
      <c r="F15" s="129">
        <v>2</v>
      </c>
      <c r="G15" s="129">
        <v>2</v>
      </c>
      <c r="H15" s="129">
        <v>2</v>
      </c>
      <c r="I15" s="123"/>
      <c r="J15" s="129">
        <v>2</v>
      </c>
      <c r="K15" s="129">
        <v>2</v>
      </c>
      <c r="L15" s="129">
        <v>1</v>
      </c>
      <c r="M15" s="123"/>
      <c r="N15" s="123"/>
      <c r="O15" s="129">
        <v>1</v>
      </c>
      <c r="P15" s="125">
        <f t="shared" si="0"/>
        <v>21</v>
      </c>
      <c r="Q15" s="129">
        <f>4+15+3+1+1+1+2+1</f>
        <v>28</v>
      </c>
      <c r="R15" s="123"/>
      <c r="S15" s="129">
        <v>1</v>
      </c>
      <c r="T15" s="123"/>
      <c r="U15" s="123"/>
      <c r="V15" s="129">
        <v>10</v>
      </c>
      <c r="W15" s="129">
        <v>3</v>
      </c>
      <c r="X15" s="125">
        <f t="shared" si="8"/>
        <v>14</v>
      </c>
      <c r="Y15" s="129">
        <f>28+1+2+1+1+1+2+1+1</f>
        <v>38</v>
      </c>
      <c r="Z15" s="123"/>
      <c r="AA15" s="123"/>
      <c r="AB15" s="123"/>
      <c r="AC15" s="123"/>
      <c r="AD15" s="125">
        <f t="shared" si="9"/>
        <v>38</v>
      </c>
      <c r="AE15" s="123"/>
      <c r="AF15" s="123"/>
      <c r="AG15" s="123"/>
      <c r="AH15" s="123"/>
      <c r="AI15" s="123"/>
      <c r="AJ15" s="123"/>
      <c r="AK15" s="129">
        <v>1</v>
      </c>
      <c r="AL15" s="123"/>
      <c r="AM15" s="125">
        <f t="shared" si="1"/>
        <v>52</v>
      </c>
      <c r="AN15" s="138">
        <f>54500000+6000000+2000000</f>
        <v>62500000</v>
      </c>
      <c r="AP15" s="121" t="s">
        <v>63</v>
      </c>
      <c r="AQ15" s="111">
        <f t="shared" si="2"/>
        <v>235</v>
      </c>
      <c r="AR15" s="111">
        <f t="shared" si="3"/>
        <v>0</v>
      </c>
      <c r="AS15" s="111">
        <f t="shared" si="3"/>
        <v>2</v>
      </c>
      <c r="AT15" s="111">
        <f t="shared" si="4"/>
        <v>57</v>
      </c>
      <c r="AU15" s="112">
        <f t="shared" si="10"/>
        <v>59</v>
      </c>
      <c r="AV15" s="111">
        <f t="shared" si="5"/>
        <v>1424</v>
      </c>
      <c r="AW15" s="111">
        <f t="shared" si="5"/>
        <v>19</v>
      </c>
      <c r="AX15" s="111">
        <f t="shared" si="5"/>
        <v>10</v>
      </c>
      <c r="AY15" s="111">
        <f t="shared" si="5"/>
        <v>2</v>
      </c>
      <c r="AZ15" s="111">
        <f t="shared" si="5"/>
        <v>1</v>
      </c>
      <c r="BA15" s="112">
        <f t="shared" si="11"/>
        <v>32</v>
      </c>
      <c r="BB15" s="111">
        <f t="shared" si="6"/>
        <v>5</v>
      </c>
      <c r="BC15" s="111">
        <f t="shared" si="6"/>
        <v>0</v>
      </c>
      <c r="BD15" s="113">
        <f t="shared" si="7"/>
        <v>98012200000</v>
      </c>
    </row>
    <row r="16" spans="1:56" x14ac:dyDescent="0.25">
      <c r="A16" s="343"/>
      <c r="B16" s="346"/>
      <c r="C16" s="122" t="s">
        <v>64</v>
      </c>
      <c r="D16" s="126"/>
      <c r="E16" s="123"/>
      <c r="F16" s="123"/>
      <c r="G16" s="123"/>
      <c r="H16" s="123"/>
      <c r="I16" s="123"/>
      <c r="J16" s="139"/>
      <c r="K16" s="129">
        <v>1</v>
      </c>
      <c r="L16" s="126"/>
      <c r="M16" s="126"/>
      <c r="N16" s="126"/>
      <c r="O16" s="126"/>
      <c r="P16" s="125">
        <f t="shared" si="0"/>
        <v>1</v>
      </c>
      <c r="Q16" s="123"/>
      <c r="R16" s="123"/>
      <c r="S16" s="123"/>
      <c r="T16" s="123"/>
      <c r="U16" s="123"/>
      <c r="V16" s="123"/>
      <c r="W16" s="126"/>
      <c r="X16" s="125">
        <f t="shared" si="8"/>
        <v>0</v>
      </c>
      <c r="Y16" s="129">
        <v>2</v>
      </c>
      <c r="Z16" s="123"/>
      <c r="AA16" s="123"/>
      <c r="AB16" s="123"/>
      <c r="AC16" s="123"/>
      <c r="AD16" s="125">
        <f t="shared" si="9"/>
        <v>2</v>
      </c>
      <c r="AE16" s="123"/>
      <c r="AF16" s="123"/>
      <c r="AG16" s="123"/>
      <c r="AH16" s="123"/>
      <c r="AI16" s="123"/>
      <c r="AJ16" s="123"/>
      <c r="AK16" s="123"/>
      <c r="AL16" s="123"/>
      <c r="AM16" s="125">
        <f t="shared" si="1"/>
        <v>2</v>
      </c>
      <c r="AN16" s="128"/>
      <c r="AP16" s="121" t="s">
        <v>64</v>
      </c>
      <c r="AQ16" s="111">
        <f t="shared" si="2"/>
        <v>41</v>
      </c>
      <c r="AR16" s="111">
        <f t="shared" si="3"/>
        <v>0</v>
      </c>
      <c r="AS16" s="111">
        <f t="shared" si="3"/>
        <v>0</v>
      </c>
      <c r="AT16" s="111">
        <f t="shared" si="4"/>
        <v>10</v>
      </c>
      <c r="AU16" s="112">
        <f t="shared" si="10"/>
        <v>10</v>
      </c>
      <c r="AV16" s="111">
        <f t="shared" si="5"/>
        <v>351</v>
      </c>
      <c r="AW16" s="111">
        <f t="shared" si="5"/>
        <v>0</v>
      </c>
      <c r="AX16" s="111">
        <f t="shared" si="5"/>
        <v>1</v>
      </c>
      <c r="AY16" s="111">
        <f t="shared" si="5"/>
        <v>0</v>
      </c>
      <c r="AZ16" s="111">
        <f t="shared" si="5"/>
        <v>0</v>
      </c>
      <c r="BA16" s="112">
        <f t="shared" si="11"/>
        <v>1</v>
      </c>
      <c r="BB16" s="111">
        <f t="shared" si="6"/>
        <v>0</v>
      </c>
      <c r="BC16" s="111">
        <f t="shared" si="6"/>
        <v>0</v>
      </c>
      <c r="BD16" s="113">
        <f t="shared" si="7"/>
        <v>1187850000</v>
      </c>
    </row>
    <row r="17" spans="1:56" ht="15.75" customHeight="1" x14ac:dyDescent="0.25">
      <c r="A17" s="343"/>
      <c r="B17" s="346"/>
      <c r="C17" s="140" t="s">
        <v>65</v>
      </c>
      <c r="D17" s="129">
        <v>1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5">
        <f t="shared" si="0"/>
        <v>1</v>
      </c>
      <c r="Q17" s="123"/>
      <c r="R17" s="123"/>
      <c r="S17" s="123"/>
      <c r="T17" s="123"/>
      <c r="U17" s="123"/>
      <c r="V17" s="123"/>
      <c r="W17" s="123"/>
      <c r="X17" s="125">
        <f t="shared" si="8"/>
        <v>0</v>
      </c>
      <c r="Y17" s="123"/>
      <c r="Z17" s="123"/>
      <c r="AA17" s="123"/>
      <c r="AB17" s="123"/>
      <c r="AC17" s="123"/>
      <c r="AD17" s="125">
        <f t="shared" si="9"/>
        <v>0</v>
      </c>
      <c r="AE17" s="123"/>
      <c r="AF17" s="123"/>
      <c r="AG17" s="123"/>
      <c r="AH17" s="123"/>
      <c r="AI17" s="123"/>
      <c r="AJ17" s="123"/>
      <c r="AK17" s="123"/>
      <c r="AL17" s="123"/>
      <c r="AM17" s="125">
        <f t="shared" si="1"/>
        <v>0</v>
      </c>
      <c r="AN17" s="128"/>
      <c r="AP17" s="121" t="s">
        <v>65</v>
      </c>
      <c r="AQ17" s="111">
        <f t="shared" si="2"/>
        <v>7</v>
      </c>
      <c r="AR17" s="111">
        <f t="shared" si="3"/>
        <v>0</v>
      </c>
      <c r="AS17" s="111">
        <f t="shared" si="3"/>
        <v>0</v>
      </c>
      <c r="AT17" s="111">
        <f t="shared" si="4"/>
        <v>0</v>
      </c>
      <c r="AU17" s="112">
        <f t="shared" si="10"/>
        <v>0</v>
      </c>
      <c r="AV17" s="111">
        <f t="shared" si="5"/>
        <v>3</v>
      </c>
      <c r="AW17" s="111">
        <f t="shared" si="5"/>
        <v>0</v>
      </c>
      <c r="AX17" s="111">
        <f t="shared" si="5"/>
        <v>0</v>
      </c>
      <c r="AY17" s="111">
        <f t="shared" si="5"/>
        <v>0</v>
      </c>
      <c r="AZ17" s="111">
        <f t="shared" si="5"/>
        <v>0</v>
      </c>
      <c r="BA17" s="112">
        <f t="shared" si="11"/>
        <v>0</v>
      </c>
      <c r="BB17" s="111">
        <f t="shared" si="6"/>
        <v>0</v>
      </c>
      <c r="BC17" s="111">
        <f t="shared" si="6"/>
        <v>200</v>
      </c>
      <c r="BD17" s="113">
        <f t="shared" si="7"/>
        <v>0</v>
      </c>
    </row>
    <row r="18" spans="1:56" x14ac:dyDescent="0.25">
      <c r="A18" s="343"/>
      <c r="B18" s="346"/>
      <c r="C18" s="141" t="s">
        <v>66</v>
      </c>
      <c r="D18" s="123"/>
      <c r="E18" s="123"/>
      <c r="F18" s="123"/>
      <c r="G18" s="123"/>
      <c r="H18" s="123"/>
      <c r="I18" s="123"/>
      <c r="J18" s="123"/>
      <c r="K18" s="123"/>
      <c r="L18" s="129">
        <v>2</v>
      </c>
      <c r="M18" s="129">
        <v>8</v>
      </c>
      <c r="N18" s="123"/>
      <c r="O18" s="123"/>
      <c r="P18" s="125">
        <f t="shared" si="0"/>
        <v>10</v>
      </c>
      <c r="Q18" s="123"/>
      <c r="R18" s="123"/>
      <c r="S18" s="123"/>
      <c r="T18" s="123"/>
      <c r="U18" s="123"/>
      <c r="V18" s="123"/>
      <c r="W18" s="123"/>
      <c r="X18" s="125">
        <f t="shared" si="8"/>
        <v>0</v>
      </c>
      <c r="Y18" s="123"/>
      <c r="Z18" s="123"/>
      <c r="AA18" s="123"/>
      <c r="AB18" s="123"/>
      <c r="AC18" s="123"/>
      <c r="AD18" s="125">
        <f t="shared" si="9"/>
        <v>0</v>
      </c>
      <c r="AE18" s="123"/>
      <c r="AF18" s="123"/>
      <c r="AG18" s="123"/>
      <c r="AH18" s="123"/>
      <c r="AI18" s="123"/>
      <c r="AJ18" s="123"/>
      <c r="AK18" s="123"/>
      <c r="AL18" s="123"/>
      <c r="AM18" s="125">
        <f t="shared" si="1"/>
        <v>0</v>
      </c>
      <c r="AN18" s="128"/>
      <c r="AP18" s="111" t="s">
        <v>66</v>
      </c>
      <c r="AQ18" s="111">
        <f t="shared" si="2"/>
        <v>88</v>
      </c>
      <c r="AR18" s="111">
        <f t="shared" si="3"/>
        <v>3</v>
      </c>
      <c r="AS18" s="111">
        <f t="shared" si="3"/>
        <v>0</v>
      </c>
      <c r="AT18" s="111">
        <f t="shared" si="4"/>
        <v>0</v>
      </c>
      <c r="AU18" s="112">
        <f t="shared" si="10"/>
        <v>3</v>
      </c>
      <c r="AV18" s="111">
        <f t="shared" si="5"/>
        <v>0</v>
      </c>
      <c r="AW18" s="111">
        <f t="shared" si="5"/>
        <v>0</v>
      </c>
      <c r="AX18" s="111">
        <f t="shared" si="5"/>
        <v>0</v>
      </c>
      <c r="AY18" s="111">
        <f t="shared" si="5"/>
        <v>0</v>
      </c>
      <c r="AZ18" s="111">
        <f t="shared" si="5"/>
        <v>0</v>
      </c>
      <c r="BA18" s="112">
        <f t="shared" si="11"/>
        <v>0</v>
      </c>
      <c r="BB18" s="111">
        <f t="shared" si="6"/>
        <v>0</v>
      </c>
      <c r="BC18" s="111">
        <f t="shared" si="6"/>
        <v>1</v>
      </c>
      <c r="BD18" s="113">
        <f t="shared" si="7"/>
        <v>2500000</v>
      </c>
    </row>
    <row r="19" spans="1:56" s="218" customFormat="1" ht="16.5" customHeight="1" x14ac:dyDescent="0.25">
      <c r="A19" s="344"/>
      <c r="B19" s="347"/>
      <c r="C19" s="142" t="s">
        <v>67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5">
        <f t="shared" si="0"/>
        <v>0</v>
      </c>
      <c r="Q19" s="214"/>
      <c r="R19" s="214"/>
      <c r="S19" s="214"/>
      <c r="T19" s="214"/>
      <c r="U19" s="214"/>
      <c r="V19" s="214"/>
      <c r="W19" s="214"/>
      <c r="X19" s="215">
        <f t="shared" si="8"/>
        <v>0</v>
      </c>
      <c r="Y19" s="214"/>
      <c r="Z19" s="214"/>
      <c r="AA19" s="214"/>
      <c r="AB19" s="214"/>
      <c r="AC19" s="214"/>
      <c r="AD19" s="215">
        <f t="shared" si="9"/>
        <v>0</v>
      </c>
      <c r="AE19" s="214"/>
      <c r="AF19" s="214"/>
      <c r="AG19" s="214"/>
      <c r="AH19" s="214"/>
      <c r="AI19" s="214"/>
      <c r="AJ19" s="214"/>
      <c r="AK19" s="214"/>
      <c r="AL19" s="214"/>
      <c r="AM19" s="215">
        <f t="shared" si="1"/>
        <v>0</v>
      </c>
      <c r="AN19" s="216"/>
      <c r="AO19" s="217"/>
      <c r="AP19" s="111" t="s">
        <v>67</v>
      </c>
      <c r="AQ19" s="111">
        <f t="shared" si="2"/>
        <v>89</v>
      </c>
      <c r="AR19" s="111">
        <f t="shared" si="3"/>
        <v>0</v>
      </c>
      <c r="AS19" s="111">
        <f t="shared" si="3"/>
        <v>0</v>
      </c>
      <c r="AT19" s="111">
        <f t="shared" si="4"/>
        <v>0</v>
      </c>
      <c r="AU19" s="112">
        <f t="shared" si="10"/>
        <v>0</v>
      </c>
      <c r="AV19" s="111">
        <f t="shared" si="5"/>
        <v>0</v>
      </c>
      <c r="AW19" s="111">
        <f t="shared" si="5"/>
        <v>0</v>
      </c>
      <c r="AX19" s="111">
        <f t="shared" si="5"/>
        <v>0</v>
      </c>
      <c r="AY19" s="111">
        <f t="shared" si="5"/>
        <v>0</v>
      </c>
      <c r="AZ19" s="111">
        <f t="shared" si="5"/>
        <v>0</v>
      </c>
      <c r="BA19" s="112">
        <f t="shared" si="11"/>
        <v>0</v>
      </c>
      <c r="BB19" s="111">
        <f t="shared" si="6"/>
        <v>0</v>
      </c>
      <c r="BC19" s="111">
        <f t="shared" si="6"/>
        <v>12757.83</v>
      </c>
      <c r="BD19" s="113">
        <f t="shared" si="7"/>
        <v>0</v>
      </c>
    </row>
    <row r="20" spans="1:56" ht="14.25" customHeight="1" x14ac:dyDescent="0.25">
      <c r="A20" s="365">
        <v>2</v>
      </c>
      <c r="B20" s="368" t="s">
        <v>19</v>
      </c>
      <c r="C20" s="143" t="s">
        <v>56</v>
      </c>
      <c r="D20" s="207"/>
      <c r="E20" s="207"/>
      <c r="F20" s="176"/>
      <c r="G20" s="176"/>
      <c r="H20" s="208">
        <v>2</v>
      </c>
      <c r="I20" s="208">
        <v>1</v>
      </c>
      <c r="J20" s="176"/>
      <c r="K20" s="176"/>
      <c r="L20" s="176"/>
      <c r="M20" s="176"/>
      <c r="N20" s="176"/>
      <c r="O20" s="176"/>
      <c r="P20" s="209">
        <f t="shared" si="0"/>
        <v>3</v>
      </c>
      <c r="Q20" s="208">
        <v>168</v>
      </c>
      <c r="R20" s="176"/>
      <c r="S20" s="176"/>
      <c r="T20" s="176"/>
      <c r="U20" s="176"/>
      <c r="V20" s="208">
        <v>31</v>
      </c>
      <c r="W20" s="207"/>
      <c r="X20" s="209">
        <f t="shared" si="8"/>
        <v>31</v>
      </c>
      <c r="Y20" s="208">
        <f>31+168</f>
        <v>199</v>
      </c>
      <c r="Z20" s="208">
        <v>1</v>
      </c>
      <c r="AA20" s="208">
        <f>1+1</f>
        <v>2</v>
      </c>
      <c r="AB20" s="176"/>
      <c r="AC20" s="176"/>
      <c r="AD20" s="209">
        <f t="shared" si="9"/>
        <v>202</v>
      </c>
      <c r="AE20" s="176"/>
      <c r="AF20" s="208">
        <v>340</v>
      </c>
      <c r="AG20" s="208">
        <v>900</v>
      </c>
      <c r="AH20" s="208">
        <v>30</v>
      </c>
      <c r="AI20" s="176"/>
      <c r="AJ20" s="176"/>
      <c r="AK20" s="176"/>
      <c r="AL20" s="176"/>
      <c r="AM20" s="209">
        <f t="shared" si="1"/>
        <v>233</v>
      </c>
      <c r="AN20" s="210">
        <f>66000000+1870000000</f>
        <v>1936000000</v>
      </c>
      <c r="AP20" s="211" t="s">
        <v>15</v>
      </c>
      <c r="AQ20" s="212">
        <f t="shared" ref="AQ20:BD20" si="12">SUM(AQ8:AQ19)</f>
        <v>980</v>
      </c>
      <c r="AR20" s="212">
        <f t="shared" si="12"/>
        <v>19</v>
      </c>
      <c r="AS20" s="212">
        <f t="shared" si="12"/>
        <v>31</v>
      </c>
      <c r="AT20" s="212">
        <f t="shared" si="12"/>
        <v>990</v>
      </c>
      <c r="AU20" s="212">
        <f t="shared" si="12"/>
        <v>1040</v>
      </c>
      <c r="AV20" s="212">
        <f t="shared" si="12"/>
        <v>14787</v>
      </c>
      <c r="AW20" s="212">
        <f t="shared" si="12"/>
        <v>84</v>
      </c>
      <c r="AX20" s="212">
        <f t="shared" si="12"/>
        <v>60</v>
      </c>
      <c r="AY20" s="212">
        <f t="shared" si="12"/>
        <v>22</v>
      </c>
      <c r="AZ20" s="212">
        <f t="shared" si="12"/>
        <v>13</v>
      </c>
      <c r="BA20" s="212">
        <f t="shared" si="12"/>
        <v>179</v>
      </c>
      <c r="BB20" s="212">
        <f t="shared" si="12"/>
        <v>6306.5</v>
      </c>
      <c r="BC20" s="212">
        <f t="shared" si="12"/>
        <v>28146.98</v>
      </c>
      <c r="BD20" s="213">
        <f t="shared" si="12"/>
        <v>168875255940</v>
      </c>
    </row>
    <row r="21" spans="1:56" x14ac:dyDescent="0.25">
      <c r="A21" s="366"/>
      <c r="B21" s="369"/>
      <c r="C21" s="122" t="s">
        <v>57</v>
      </c>
      <c r="D21" s="123"/>
      <c r="E21" s="126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5">
        <f t="shared" si="0"/>
        <v>0</v>
      </c>
      <c r="Q21" s="123"/>
      <c r="R21" s="123"/>
      <c r="S21" s="123"/>
      <c r="T21" s="123"/>
      <c r="U21" s="123"/>
      <c r="V21" s="123"/>
      <c r="W21" s="126"/>
      <c r="X21" s="125">
        <f t="shared" si="8"/>
        <v>0</v>
      </c>
      <c r="Y21" s="123"/>
      <c r="Z21" s="123"/>
      <c r="AA21" s="123"/>
      <c r="AB21" s="123"/>
      <c r="AC21" s="123"/>
      <c r="AD21" s="125">
        <f t="shared" si="9"/>
        <v>0</v>
      </c>
      <c r="AE21" s="123"/>
      <c r="AF21" s="123">
        <v>0</v>
      </c>
      <c r="AG21" s="123"/>
      <c r="AH21" s="123"/>
      <c r="AI21" s="123"/>
      <c r="AJ21" s="123"/>
      <c r="AK21" s="123"/>
      <c r="AL21" s="123"/>
      <c r="AM21" s="125">
        <f t="shared" si="1"/>
        <v>0</v>
      </c>
      <c r="AN21" s="128"/>
    </row>
    <row r="22" spans="1:56" x14ac:dyDescent="0.25">
      <c r="A22" s="366"/>
      <c r="B22" s="369"/>
      <c r="C22" s="122" t="s">
        <v>58</v>
      </c>
      <c r="D22" s="123"/>
      <c r="E22" s="126"/>
      <c r="F22" s="123"/>
      <c r="G22" s="123"/>
      <c r="H22" s="129">
        <v>3</v>
      </c>
      <c r="I22" s="123"/>
      <c r="J22" s="123"/>
      <c r="K22" s="123"/>
      <c r="L22" s="123"/>
      <c r="M22" s="123"/>
      <c r="N22" s="123"/>
      <c r="O22" s="123"/>
      <c r="P22" s="125">
        <f t="shared" si="0"/>
        <v>3</v>
      </c>
      <c r="Q22" s="129">
        <v>17</v>
      </c>
      <c r="R22" s="126"/>
      <c r="S22" s="129">
        <v>3</v>
      </c>
      <c r="T22" s="126"/>
      <c r="U22" s="126"/>
      <c r="V22" s="126"/>
      <c r="W22" s="129">
        <v>55</v>
      </c>
      <c r="X22" s="125">
        <f t="shared" si="8"/>
        <v>58</v>
      </c>
      <c r="Y22" s="129">
        <v>3</v>
      </c>
      <c r="Z22" s="123"/>
      <c r="AA22" s="123"/>
      <c r="AB22" s="123"/>
      <c r="AC22" s="123"/>
      <c r="AD22" s="125">
        <f t="shared" si="9"/>
        <v>3</v>
      </c>
      <c r="AE22" s="129">
        <v>252</v>
      </c>
      <c r="AF22" s="123"/>
      <c r="AG22" s="123"/>
      <c r="AH22" s="123"/>
      <c r="AI22" s="123"/>
      <c r="AJ22" s="123"/>
      <c r="AK22" s="123"/>
      <c r="AL22" s="123"/>
      <c r="AM22" s="125">
        <f t="shared" si="1"/>
        <v>61</v>
      </c>
      <c r="AN22" s="138">
        <v>200000000</v>
      </c>
    </row>
    <row r="23" spans="1:56" x14ac:dyDescent="0.25">
      <c r="A23" s="366"/>
      <c r="B23" s="369"/>
      <c r="C23" s="122" t="s">
        <v>59</v>
      </c>
      <c r="D23" s="126"/>
      <c r="E23" s="126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5">
        <f t="shared" si="0"/>
        <v>0</v>
      </c>
      <c r="Q23" s="126"/>
      <c r="R23" s="126"/>
      <c r="S23" s="126"/>
      <c r="T23" s="126"/>
      <c r="U23" s="126"/>
      <c r="V23" s="126"/>
      <c r="W23" s="126"/>
      <c r="X23" s="125">
        <f t="shared" si="8"/>
        <v>0</v>
      </c>
      <c r="Y23" s="123"/>
      <c r="Z23" s="123"/>
      <c r="AA23" s="123"/>
      <c r="AB23" s="123"/>
      <c r="AC23" s="123"/>
      <c r="AD23" s="125">
        <f t="shared" si="9"/>
        <v>0</v>
      </c>
      <c r="AE23" s="123"/>
      <c r="AF23" s="123"/>
      <c r="AG23" s="123"/>
      <c r="AH23" s="123"/>
      <c r="AI23" s="123"/>
      <c r="AJ23" s="123"/>
      <c r="AK23" s="123"/>
      <c r="AL23" s="123"/>
      <c r="AM23" s="125">
        <f t="shared" si="1"/>
        <v>0</v>
      </c>
      <c r="AN23" s="128"/>
    </row>
    <row r="24" spans="1:56" x14ac:dyDescent="0.25">
      <c r="A24" s="366"/>
      <c r="B24" s="369"/>
      <c r="C24" s="122" t="s">
        <v>60</v>
      </c>
      <c r="D24" s="123"/>
      <c r="E24" s="126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5">
        <f t="shared" si="0"/>
        <v>0</v>
      </c>
      <c r="Q24" s="126"/>
      <c r="R24" s="126"/>
      <c r="S24" s="126"/>
      <c r="T24" s="126"/>
      <c r="U24" s="126"/>
      <c r="V24" s="126"/>
      <c r="W24" s="126"/>
      <c r="X24" s="125">
        <f t="shared" si="8"/>
        <v>0</v>
      </c>
      <c r="Y24" s="123"/>
      <c r="Z24" s="123"/>
      <c r="AA24" s="123"/>
      <c r="AB24" s="123"/>
      <c r="AC24" s="123"/>
      <c r="AD24" s="125">
        <f t="shared" si="9"/>
        <v>0</v>
      </c>
      <c r="AE24" s="123"/>
      <c r="AF24" s="123"/>
      <c r="AG24" s="123"/>
      <c r="AH24" s="123"/>
      <c r="AI24" s="123"/>
      <c r="AJ24" s="123"/>
      <c r="AK24" s="123"/>
      <c r="AL24" s="123"/>
      <c r="AM24" s="125">
        <f t="shared" si="1"/>
        <v>0</v>
      </c>
      <c r="AN24" s="128"/>
      <c r="AP24" s="144" t="s">
        <v>148</v>
      </c>
      <c r="AQ24" s="145" t="s">
        <v>149</v>
      </c>
      <c r="AR24" s="145" t="s">
        <v>150</v>
      </c>
      <c r="AS24" s="145" t="s">
        <v>151</v>
      </c>
      <c r="AT24" s="145" t="s">
        <v>152</v>
      </c>
      <c r="AU24" s="145" t="s">
        <v>153</v>
      </c>
      <c r="AV24" s="145" t="s">
        <v>119</v>
      </c>
      <c r="AW24" s="145" t="s">
        <v>154</v>
      </c>
      <c r="AX24" s="145" t="s">
        <v>155</v>
      </c>
      <c r="AY24" s="145" t="s">
        <v>156</v>
      </c>
      <c r="AZ24" s="146"/>
      <c r="BA24" s="145" t="s">
        <v>124</v>
      </c>
    </row>
    <row r="25" spans="1:56" x14ac:dyDescent="0.25">
      <c r="A25" s="366"/>
      <c r="B25" s="369"/>
      <c r="C25" s="122" t="s">
        <v>61</v>
      </c>
      <c r="D25" s="123"/>
      <c r="E25" s="126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5">
        <f t="shared" si="0"/>
        <v>0</v>
      </c>
      <c r="Q25" s="126"/>
      <c r="R25" s="126"/>
      <c r="S25" s="126"/>
      <c r="T25" s="126"/>
      <c r="U25" s="126"/>
      <c r="V25" s="126"/>
      <c r="W25" s="126"/>
      <c r="X25" s="125">
        <f t="shared" si="8"/>
        <v>0</v>
      </c>
      <c r="Y25" s="123"/>
      <c r="Z25" s="123"/>
      <c r="AA25" s="123"/>
      <c r="AB25" s="123"/>
      <c r="AC25" s="123"/>
      <c r="AD25" s="125">
        <f t="shared" si="9"/>
        <v>0</v>
      </c>
      <c r="AE25" s="123"/>
      <c r="AF25" s="123"/>
      <c r="AG25" s="123"/>
      <c r="AH25" s="123"/>
      <c r="AI25" s="123"/>
      <c r="AJ25" s="123"/>
      <c r="AK25" s="123"/>
      <c r="AL25" s="123"/>
      <c r="AM25" s="125">
        <f t="shared" si="1"/>
        <v>0</v>
      </c>
      <c r="AN25" s="128"/>
      <c r="AP25" s="76" t="s">
        <v>157</v>
      </c>
      <c r="AQ25" s="76">
        <f>SUM(Z8:Z19)</f>
        <v>0</v>
      </c>
      <c r="AR25" s="76">
        <f>SUM(AB8:AB19)</f>
        <v>0</v>
      </c>
      <c r="AS25" s="76">
        <f>SUM(AB8:AB19)</f>
        <v>0</v>
      </c>
      <c r="AT25" s="76">
        <f>SUM(AC8:AC19)</f>
        <v>0</v>
      </c>
      <c r="AU25" s="76"/>
      <c r="AV25" s="76">
        <f>SUM(AE8:AE19)</f>
        <v>0</v>
      </c>
      <c r="AW25" s="76">
        <f>SUM(AF8:AF19)</f>
        <v>0</v>
      </c>
      <c r="AX25" s="76">
        <f>AG8+AG9+AG10+AG11+AG12+AG13+AG14+AG15+AG16+AG17</f>
        <v>0</v>
      </c>
      <c r="AY25" s="76">
        <f>AH8+AH9+AH10+AH11+AH12+AH13+AH14+AH15+AH16+AH17</f>
        <v>0</v>
      </c>
      <c r="BA25" s="76">
        <f>AJ8+AJ9+AJ10+AJ11+AJ12+AJ13+AJ14+AJ15+AJ16+AJ17</f>
        <v>0</v>
      </c>
    </row>
    <row r="26" spans="1:56" x14ac:dyDescent="0.25">
      <c r="A26" s="366"/>
      <c r="B26" s="369"/>
      <c r="C26" s="122" t="s">
        <v>62</v>
      </c>
      <c r="D26" s="126"/>
      <c r="E26" s="126"/>
      <c r="F26" s="123"/>
      <c r="G26" s="123"/>
      <c r="H26" s="126"/>
      <c r="I26" s="126"/>
      <c r="J26" s="129">
        <v>1</v>
      </c>
      <c r="K26" s="126"/>
      <c r="L26" s="126"/>
      <c r="M26" s="126"/>
      <c r="N26" s="126"/>
      <c r="O26" s="126"/>
      <c r="P26" s="125">
        <f t="shared" si="0"/>
        <v>1</v>
      </c>
      <c r="Q26" s="129">
        <v>1</v>
      </c>
      <c r="R26" s="126"/>
      <c r="S26" s="126"/>
      <c r="T26" s="126"/>
      <c r="U26" s="126"/>
      <c r="V26" s="126"/>
      <c r="W26" s="126"/>
      <c r="X26" s="125">
        <f t="shared" si="8"/>
        <v>0</v>
      </c>
      <c r="Y26" s="129">
        <v>1</v>
      </c>
      <c r="Z26" s="123"/>
      <c r="AA26" s="123"/>
      <c r="AB26" s="123"/>
      <c r="AC26" s="123"/>
      <c r="AD26" s="125">
        <f t="shared" si="9"/>
        <v>1</v>
      </c>
      <c r="AE26" s="123"/>
      <c r="AF26" s="123"/>
      <c r="AG26" s="123"/>
      <c r="AH26" s="123"/>
      <c r="AI26" s="123"/>
      <c r="AJ26" s="123"/>
      <c r="AK26" s="123"/>
      <c r="AL26" s="126"/>
      <c r="AM26" s="125">
        <f t="shared" si="1"/>
        <v>1</v>
      </c>
      <c r="AN26" s="138">
        <v>70000000</v>
      </c>
      <c r="AP26" s="76" t="s">
        <v>158</v>
      </c>
      <c r="AQ26" s="76">
        <f>SUM(Z20:Z31)</f>
        <v>1</v>
      </c>
      <c r="AR26" s="76">
        <f>AA20+AA21+AA22+AA23+AA24+AA25+AA26+AA27+AA28+AA29</f>
        <v>2</v>
      </c>
      <c r="AS26" s="76">
        <f>SUM(AB20:AB31)</f>
        <v>0</v>
      </c>
      <c r="AT26" s="76">
        <f>SUM(AC20:AC31)</f>
        <v>0</v>
      </c>
      <c r="AU26" s="76"/>
      <c r="AV26" s="76">
        <f>SUM(AE20:AE31)</f>
        <v>252</v>
      </c>
      <c r="AW26" s="76">
        <f>SUM(AF20:AF31)</f>
        <v>340</v>
      </c>
      <c r="AX26" s="76">
        <f>AG20+AG21+AG22+AG23+AG24+AG25+AG26+AG27+AG28+AG29</f>
        <v>900</v>
      </c>
      <c r="AY26" s="76">
        <f>AH20+AH21+AH22+AH23+AH24+AH25+AH26+AH27+AH28+AH29</f>
        <v>30</v>
      </c>
      <c r="BA26" s="76">
        <f>AJ20+AJ21+AJ22+AJ23+AJ24+AJ25+AJ26+AJ27+AJ28+AJ29</f>
        <v>0</v>
      </c>
    </row>
    <row r="27" spans="1:56" x14ac:dyDescent="0.25">
      <c r="A27" s="366"/>
      <c r="B27" s="369"/>
      <c r="C27" s="122" t="s">
        <v>63</v>
      </c>
      <c r="D27" s="123"/>
      <c r="E27" s="129">
        <v>2</v>
      </c>
      <c r="F27" s="123"/>
      <c r="G27" s="129">
        <v>1</v>
      </c>
      <c r="H27" s="123"/>
      <c r="I27" s="123"/>
      <c r="J27" s="126"/>
      <c r="K27" s="126"/>
      <c r="L27" s="129">
        <v>1</v>
      </c>
      <c r="M27" s="123"/>
      <c r="N27" s="123"/>
      <c r="O27" s="123"/>
      <c r="P27" s="125">
        <f t="shared" si="0"/>
        <v>4</v>
      </c>
      <c r="Q27" s="126"/>
      <c r="R27" s="126"/>
      <c r="S27" s="126"/>
      <c r="T27" s="126"/>
      <c r="U27" s="126"/>
      <c r="V27" s="129">
        <v>2</v>
      </c>
      <c r="W27" s="126"/>
      <c r="X27" s="125">
        <f t="shared" si="8"/>
        <v>2</v>
      </c>
      <c r="Y27" s="129">
        <f>2+1+1</f>
        <v>4</v>
      </c>
      <c r="Z27" s="123"/>
      <c r="AA27" s="123"/>
      <c r="AB27" s="123"/>
      <c r="AC27" s="123"/>
      <c r="AD27" s="125">
        <f t="shared" si="9"/>
        <v>4</v>
      </c>
      <c r="AE27" s="123"/>
      <c r="AF27" s="123"/>
      <c r="AG27" s="123"/>
      <c r="AH27" s="123"/>
      <c r="AI27" s="123"/>
      <c r="AJ27" s="123"/>
      <c r="AK27" s="123"/>
      <c r="AL27" s="126"/>
      <c r="AM27" s="125">
        <f t="shared" si="1"/>
        <v>6</v>
      </c>
      <c r="AN27" s="138">
        <f>3000000+50000000</f>
        <v>53000000</v>
      </c>
      <c r="AP27" s="76" t="s">
        <v>159</v>
      </c>
      <c r="AQ27" s="76">
        <f>SUM(Z32:Z43)</f>
        <v>0</v>
      </c>
      <c r="AR27" s="76">
        <f>AA32+AA33+AA34+AA35+AA36+AA37+AA38+AA39+AA40+AA41</f>
        <v>1</v>
      </c>
      <c r="AS27" s="76">
        <f>SUM(AB32:AB43)</f>
        <v>0</v>
      </c>
      <c r="AT27" s="76">
        <f>SUM(AC32:AC43)</f>
        <v>0</v>
      </c>
      <c r="AU27" s="76"/>
      <c r="AV27" s="76">
        <f>SUM(AE32:AE43)</f>
        <v>0</v>
      </c>
      <c r="AW27" s="76">
        <f>SUM(AF32:AF43)</f>
        <v>0</v>
      </c>
      <c r="AX27" s="76">
        <f>AG32+AG33+AG34+AG35+AG36+AG37+AG38+AG39+AG40+AG41</f>
        <v>0</v>
      </c>
      <c r="AY27" s="76">
        <f>AH32+AH33+AH34+AH35+AH36+AH37+AH38+AH39+AH40+AH41</f>
        <v>0</v>
      </c>
      <c r="BA27" s="76">
        <f>AJ32+AJ33+AJ34+AJ35+AJ36+AJ37+AJ38+AJ39+AJ40+AJ41</f>
        <v>1</v>
      </c>
    </row>
    <row r="28" spans="1:56" x14ac:dyDescent="0.25">
      <c r="A28" s="366"/>
      <c r="B28" s="369"/>
      <c r="C28" s="122" t="s">
        <v>64</v>
      </c>
      <c r="D28" s="126"/>
      <c r="E28" s="129">
        <v>1</v>
      </c>
      <c r="F28" s="126"/>
      <c r="G28" s="123"/>
      <c r="H28" s="123"/>
      <c r="I28" s="123"/>
      <c r="J28" s="126"/>
      <c r="K28" s="126"/>
      <c r="L28" s="126"/>
      <c r="M28" s="126"/>
      <c r="N28" s="126"/>
      <c r="O28" s="126"/>
      <c r="P28" s="125">
        <f t="shared" si="0"/>
        <v>1</v>
      </c>
      <c r="Q28" s="126"/>
      <c r="R28" s="126"/>
      <c r="S28" s="126"/>
      <c r="T28" s="126"/>
      <c r="U28" s="126"/>
      <c r="V28" s="126"/>
      <c r="W28" s="126"/>
      <c r="X28" s="125">
        <f t="shared" si="8"/>
        <v>0</v>
      </c>
      <c r="Y28" s="129">
        <v>4</v>
      </c>
      <c r="Z28" s="123"/>
      <c r="AA28" s="123"/>
      <c r="AB28" s="123"/>
      <c r="AC28" s="123"/>
      <c r="AD28" s="125">
        <f t="shared" si="9"/>
        <v>4</v>
      </c>
      <c r="AE28" s="123"/>
      <c r="AF28" s="123"/>
      <c r="AG28" s="123"/>
      <c r="AH28" s="123"/>
      <c r="AI28" s="123"/>
      <c r="AJ28" s="123"/>
      <c r="AK28" s="123"/>
      <c r="AL28" s="126"/>
      <c r="AM28" s="125">
        <f t="shared" si="1"/>
        <v>4</v>
      </c>
      <c r="AN28" s="128"/>
      <c r="AP28" s="76" t="s">
        <v>160</v>
      </c>
      <c r="AQ28" s="76">
        <f>SUM(Z44:Z55)</f>
        <v>0</v>
      </c>
      <c r="AR28" s="76">
        <f>AA44+AA45+AA46+AA47+AA48+AA49+AA50+AA51+AA52+AA53</f>
        <v>0</v>
      </c>
      <c r="AS28" s="76">
        <f>SUM(AB44:AB55)</f>
        <v>0</v>
      </c>
      <c r="AT28" s="76">
        <f>SUM(AC44:AC55)</f>
        <v>0</v>
      </c>
      <c r="AU28" s="76"/>
      <c r="AV28" s="76">
        <f>SUM(AE44:AE55)</f>
        <v>0</v>
      </c>
      <c r="AW28" s="76">
        <f>SUM(AF44:AF55)</f>
        <v>0</v>
      </c>
      <c r="AX28" s="76">
        <f>AG44+AG45+AG46+AG47+AG48+AG49+AG50+AG51+AG52+AG53</f>
        <v>0</v>
      </c>
      <c r="AY28" s="76">
        <f>AH44+AH45+AH46+AH47+AH48+AH49+AH50+AH51+AH52+AH53</f>
        <v>0</v>
      </c>
      <c r="BA28" s="76">
        <f>AJ44+AJ45+AJ46+AJ47+AJ48+AJ49+AJ50+AJ51+AJ52+AJ53</f>
        <v>0</v>
      </c>
    </row>
    <row r="29" spans="1:56" x14ac:dyDescent="0.25">
      <c r="A29" s="366"/>
      <c r="B29" s="369"/>
      <c r="C29" s="140" t="s">
        <v>65</v>
      </c>
      <c r="D29" s="123"/>
      <c r="E29" s="126"/>
      <c r="F29" s="126"/>
      <c r="G29" s="123"/>
      <c r="H29" s="123"/>
      <c r="I29" s="126"/>
      <c r="J29" s="123"/>
      <c r="K29" s="126"/>
      <c r="L29" s="123"/>
      <c r="M29" s="123"/>
      <c r="N29" s="123"/>
      <c r="O29" s="123"/>
      <c r="P29" s="125">
        <f t="shared" si="0"/>
        <v>0</v>
      </c>
      <c r="Q29" s="126"/>
      <c r="R29" s="126"/>
      <c r="S29" s="126"/>
      <c r="T29" s="126"/>
      <c r="U29" s="126"/>
      <c r="V29" s="126"/>
      <c r="W29" s="126"/>
      <c r="X29" s="125">
        <f t="shared" si="8"/>
        <v>0</v>
      </c>
      <c r="Y29" s="126"/>
      <c r="Z29" s="123"/>
      <c r="AA29" s="123"/>
      <c r="AB29" s="123"/>
      <c r="AC29" s="123"/>
      <c r="AD29" s="125">
        <f t="shared" si="9"/>
        <v>0</v>
      </c>
      <c r="AE29" s="123"/>
      <c r="AF29" s="123"/>
      <c r="AG29" s="123"/>
      <c r="AH29" s="123"/>
      <c r="AI29" s="123"/>
      <c r="AJ29" s="123"/>
      <c r="AK29" s="123"/>
      <c r="AL29" s="123"/>
      <c r="AM29" s="125">
        <f t="shared" si="1"/>
        <v>0</v>
      </c>
      <c r="AN29" s="128"/>
      <c r="AP29" s="76" t="s">
        <v>161</v>
      </c>
      <c r="AQ29" s="76">
        <f>SUM(Z56:Z67)</f>
        <v>0</v>
      </c>
      <c r="AR29" s="76">
        <f>AA56+AA57+AA58+AA59+AA60+AA61+AA62+AA63+AA64+AA65</f>
        <v>0</v>
      </c>
      <c r="AS29" s="76">
        <f>SUM(AB56:AB67)</f>
        <v>0</v>
      </c>
      <c r="AT29" s="76">
        <f>SUM(AC56:AC67)</f>
        <v>0</v>
      </c>
      <c r="AU29" s="76"/>
      <c r="AV29" s="76">
        <f>SUM(AE56:AE67)</f>
        <v>0</v>
      </c>
      <c r="AW29" s="76">
        <f>SUM(AF56:AF67)</f>
        <v>0</v>
      </c>
      <c r="AX29" s="76">
        <f>AG56+AG57+AG58+AG59+AG60+AG61+AG62+AG63+AG64+AG65</f>
        <v>0</v>
      </c>
      <c r="AY29" s="76">
        <f>AH56+AH57+AH58+AH59+AH60+AH61+AH62+AH63+AH64+AH65</f>
        <v>0</v>
      </c>
      <c r="BA29" s="76">
        <f>AJ56+AJ57+AJ58+AJ59+AJ60+AJ61+AJ62+AJ63+AJ64+AJ65</f>
        <v>0</v>
      </c>
    </row>
    <row r="30" spans="1:56" x14ac:dyDescent="0.25">
      <c r="A30" s="366"/>
      <c r="B30" s="369"/>
      <c r="C30" s="147" t="s">
        <v>66</v>
      </c>
      <c r="D30" s="123"/>
      <c r="E30" s="126"/>
      <c r="F30" s="126"/>
      <c r="G30" s="123"/>
      <c r="H30" s="123"/>
      <c r="I30" s="126"/>
      <c r="J30" s="123"/>
      <c r="K30" s="126"/>
      <c r="L30" s="129">
        <v>1</v>
      </c>
      <c r="M30" s="129">
        <v>1</v>
      </c>
      <c r="N30" s="123"/>
      <c r="O30" s="123"/>
      <c r="P30" s="125">
        <f t="shared" si="0"/>
        <v>2</v>
      </c>
      <c r="Q30" s="126"/>
      <c r="R30" s="126"/>
      <c r="S30" s="126"/>
      <c r="T30" s="126"/>
      <c r="U30" s="126"/>
      <c r="V30" s="126"/>
      <c r="W30" s="126"/>
      <c r="X30" s="125">
        <f t="shared" si="8"/>
        <v>0</v>
      </c>
      <c r="Y30" s="126"/>
      <c r="Z30" s="123"/>
      <c r="AA30" s="123"/>
      <c r="AB30" s="123"/>
      <c r="AC30" s="123"/>
      <c r="AD30" s="125">
        <f t="shared" si="9"/>
        <v>0</v>
      </c>
      <c r="AE30" s="123"/>
      <c r="AF30" s="123"/>
      <c r="AG30" s="123"/>
      <c r="AH30" s="123"/>
      <c r="AI30" s="123"/>
      <c r="AJ30" s="123"/>
      <c r="AK30" s="123"/>
      <c r="AL30" s="123"/>
      <c r="AM30" s="125">
        <f t="shared" si="1"/>
        <v>0</v>
      </c>
      <c r="AN30" s="128"/>
      <c r="AP30" s="76" t="s">
        <v>162</v>
      </c>
      <c r="AQ30" s="76">
        <f t="shared" ref="AQ30:AQ48" si="13">SUM(Z13:Z24)</f>
        <v>1</v>
      </c>
      <c r="AR30" s="76">
        <f>AA68+AA69+AA70+AA71+AA72+AA73+AA74+AA75+AA76+AA77</f>
        <v>0</v>
      </c>
      <c r="AS30" s="76">
        <f>SUM(AB68:AB79)</f>
        <v>0</v>
      </c>
      <c r="AT30" s="76">
        <f>SUM(AC68:AC79)</f>
        <v>0</v>
      </c>
      <c r="AU30" s="76"/>
      <c r="AV30" s="76">
        <f>SUM(AE68:AE79)</f>
        <v>0</v>
      </c>
      <c r="AW30" s="76">
        <f>SUM(AF68:AF79)</f>
        <v>1</v>
      </c>
      <c r="AX30" s="76">
        <f>AG68+AG69+AG70+AG71+AG72+AG73+AG74+AG75+AG76+AG77</f>
        <v>0</v>
      </c>
      <c r="AY30" s="76">
        <f>AH68+AH69+AH70+AH71+AH72+AH73+AH74+AH75+AH76+AH77</f>
        <v>0</v>
      </c>
      <c r="BA30" s="76">
        <f>AJ68+AJ69+AJ70+AJ71+AJ72+AJ73+AJ74+AJ75+AJ76+AJ77</f>
        <v>0</v>
      </c>
    </row>
    <row r="31" spans="1:56" s="218" customFormat="1" x14ac:dyDescent="0.25">
      <c r="A31" s="367"/>
      <c r="B31" s="370"/>
      <c r="C31" s="221" t="s">
        <v>67</v>
      </c>
      <c r="D31" s="214"/>
      <c r="E31" s="222"/>
      <c r="F31" s="222"/>
      <c r="G31" s="214"/>
      <c r="H31" s="214"/>
      <c r="I31" s="222"/>
      <c r="J31" s="214"/>
      <c r="K31" s="222"/>
      <c r="L31" s="223">
        <v>16</v>
      </c>
      <c r="M31" s="223">
        <v>11</v>
      </c>
      <c r="N31" s="214"/>
      <c r="O31" s="214"/>
      <c r="P31" s="215">
        <f t="shared" si="0"/>
        <v>27</v>
      </c>
      <c r="Q31" s="223">
        <f>1213+1358</f>
        <v>2571</v>
      </c>
      <c r="R31" s="222"/>
      <c r="S31" s="222"/>
      <c r="T31" s="222"/>
      <c r="U31" s="222"/>
      <c r="V31" s="223">
        <f>4165+3729</f>
        <v>7894</v>
      </c>
      <c r="W31" s="222"/>
      <c r="X31" s="215">
        <f t="shared" si="8"/>
        <v>7894</v>
      </c>
      <c r="Y31" s="222"/>
      <c r="Z31" s="214"/>
      <c r="AA31" s="214"/>
      <c r="AB31" s="214"/>
      <c r="AC31" s="214"/>
      <c r="AD31" s="215">
        <f t="shared" si="9"/>
        <v>0</v>
      </c>
      <c r="AE31" s="214"/>
      <c r="AF31" s="214"/>
      <c r="AG31" s="214"/>
      <c r="AH31" s="214"/>
      <c r="AI31" s="214"/>
      <c r="AJ31" s="214"/>
      <c r="AK31" s="214"/>
      <c r="AL31" s="214"/>
      <c r="AM31" s="215">
        <f t="shared" si="1"/>
        <v>7894</v>
      </c>
      <c r="AN31" s="216"/>
      <c r="AO31" s="217"/>
      <c r="AP31" s="76" t="s">
        <v>163</v>
      </c>
      <c r="AQ31" s="76">
        <f t="shared" si="13"/>
        <v>1</v>
      </c>
      <c r="AR31" s="76">
        <f>AA80+AA81+AA82+AA83+AA84+AA85+AA86+AA87+AA88+AA89</f>
        <v>0</v>
      </c>
      <c r="AS31" s="76">
        <f>SUM(AB80:AB91)</f>
        <v>0</v>
      </c>
      <c r="AT31" s="76">
        <f>SUM(AC80:AC91)</f>
        <v>1</v>
      </c>
      <c r="AU31" s="76"/>
      <c r="AV31" s="76">
        <f>SUM(AE80:AE91)</f>
        <v>182</v>
      </c>
      <c r="AW31" s="76">
        <f>SUM(AF80:AF91)</f>
        <v>23</v>
      </c>
      <c r="AX31" s="76">
        <f>AG80+AG81+AG82+AG83+AG84+AG85+AG86+AG87+AG88+AG89</f>
        <v>1</v>
      </c>
      <c r="AY31" s="76">
        <f>AH80+AH81+AH82+AH83+AH84+AH85+AH86+AH87+AH88+AH89</f>
        <v>0</v>
      </c>
      <c r="BA31" s="76">
        <f>AJ80+AJ81+AJ82+AJ83+AJ84+AJ85+AJ86+AJ87+AJ88+AJ89</f>
        <v>0</v>
      </c>
      <c r="BD31" s="224"/>
    </row>
    <row r="32" spans="1:56" x14ac:dyDescent="0.25">
      <c r="A32" s="365">
        <v>3</v>
      </c>
      <c r="B32" s="368" t="s">
        <v>17</v>
      </c>
      <c r="C32" s="143" t="s">
        <v>56</v>
      </c>
      <c r="D32" s="207"/>
      <c r="E32" s="176"/>
      <c r="F32" s="176"/>
      <c r="G32" s="176"/>
      <c r="H32" s="176"/>
      <c r="I32" s="207"/>
      <c r="J32" s="176"/>
      <c r="K32" s="176"/>
      <c r="L32" s="176"/>
      <c r="M32" s="176"/>
      <c r="N32" s="176"/>
      <c r="O32" s="176"/>
      <c r="P32" s="209">
        <f t="shared" si="0"/>
        <v>0</v>
      </c>
      <c r="Q32" s="207"/>
      <c r="R32" s="207"/>
      <c r="S32" s="207"/>
      <c r="T32" s="207"/>
      <c r="U32" s="207"/>
      <c r="V32" s="207"/>
      <c r="W32" s="207"/>
      <c r="X32" s="209">
        <f t="shared" si="8"/>
        <v>0</v>
      </c>
      <c r="Y32" s="207"/>
      <c r="Z32" s="176"/>
      <c r="AA32" s="176"/>
      <c r="AB32" s="176"/>
      <c r="AC32" s="176"/>
      <c r="AD32" s="209">
        <f t="shared" si="9"/>
        <v>0</v>
      </c>
      <c r="AE32" s="176"/>
      <c r="AF32" s="176"/>
      <c r="AG32" s="176"/>
      <c r="AH32" s="176"/>
      <c r="AI32" s="176"/>
      <c r="AJ32" s="176"/>
      <c r="AK32" s="176"/>
      <c r="AL32" s="176"/>
      <c r="AM32" s="209">
        <f t="shared" si="1"/>
        <v>0</v>
      </c>
      <c r="AN32" s="219"/>
      <c r="AP32" s="220" t="s">
        <v>164</v>
      </c>
      <c r="AQ32" s="220">
        <f t="shared" si="13"/>
        <v>1</v>
      </c>
      <c r="AR32" s="220">
        <f>AA92+AA93+AA94+AA95+AA96+AA97+AA98+AA99+AA100+AA101</f>
        <v>0</v>
      </c>
      <c r="AS32" s="220">
        <f>SUM(AB92:AB103)</f>
        <v>0</v>
      </c>
      <c r="AT32" s="220">
        <f>SUM(AC92:AC103)</f>
        <v>0</v>
      </c>
      <c r="AU32" s="220"/>
      <c r="AV32" s="220">
        <f>SUM(AE92:AE103)</f>
        <v>0</v>
      </c>
      <c r="AW32" s="220">
        <f>SUM(AF92:AF103)</f>
        <v>4820</v>
      </c>
      <c r="AX32" s="220">
        <f>AG92+AG93+AG94+AG95+AG96+AG97+AG98+AG99+AG100+AG101</f>
        <v>0</v>
      </c>
      <c r="AY32" s="220">
        <f>AH92+AH93+AH94+AH95+AH96+AH97+AH98+AH99+AH100+AH101</f>
        <v>0</v>
      </c>
      <c r="BA32" s="220">
        <f>AJ92+AJ93+AJ94+AJ95+AJ96+AJ97+AJ98+AJ99+AJ100+AJ101</f>
        <v>1</v>
      </c>
    </row>
    <row r="33" spans="1:56" x14ac:dyDescent="0.25">
      <c r="A33" s="366"/>
      <c r="B33" s="369"/>
      <c r="C33" s="122" t="s">
        <v>57</v>
      </c>
      <c r="D33" s="126"/>
      <c r="E33" s="123"/>
      <c r="F33" s="126"/>
      <c r="G33" s="123"/>
      <c r="H33" s="123"/>
      <c r="I33" s="123"/>
      <c r="J33" s="126"/>
      <c r="K33" s="126"/>
      <c r="L33" s="126"/>
      <c r="M33" s="126"/>
      <c r="N33" s="126"/>
      <c r="O33" s="126"/>
      <c r="P33" s="125">
        <f t="shared" si="0"/>
        <v>0</v>
      </c>
      <c r="Q33" s="126"/>
      <c r="R33" s="126"/>
      <c r="S33" s="126"/>
      <c r="T33" s="126"/>
      <c r="U33" s="126"/>
      <c r="V33" s="126"/>
      <c r="W33" s="126"/>
      <c r="X33" s="125">
        <f t="shared" si="8"/>
        <v>0</v>
      </c>
      <c r="Y33" s="126"/>
      <c r="Z33" s="123"/>
      <c r="AA33" s="123"/>
      <c r="AB33" s="123"/>
      <c r="AC33" s="123"/>
      <c r="AD33" s="125">
        <f t="shared" si="9"/>
        <v>0</v>
      </c>
      <c r="AE33" s="123"/>
      <c r="AF33" s="123">
        <v>0</v>
      </c>
      <c r="AG33" s="123"/>
      <c r="AH33" s="123"/>
      <c r="AI33" s="123"/>
      <c r="AJ33" s="123"/>
      <c r="AK33" s="123"/>
      <c r="AL33" s="123"/>
      <c r="AM33" s="125">
        <f t="shared" si="1"/>
        <v>0</v>
      </c>
      <c r="AN33" s="128"/>
      <c r="AP33" s="76" t="s">
        <v>165</v>
      </c>
      <c r="AQ33" s="76">
        <f t="shared" si="13"/>
        <v>1</v>
      </c>
      <c r="AR33" s="76">
        <f>AA104+AA105+AA106+AA107+AA108+AA109+AA110+AA111+AA112+AA113</f>
        <v>1</v>
      </c>
      <c r="AS33" s="76">
        <f>SUM(AB104:AB115)</f>
        <v>0</v>
      </c>
      <c r="AT33" s="76">
        <f>SUM(AC104:AC115)</f>
        <v>0</v>
      </c>
      <c r="AU33" s="76"/>
      <c r="AV33" s="76">
        <f>SUM(AE104:AE115)</f>
        <v>0</v>
      </c>
      <c r="AW33" s="76">
        <f>SUM(AF104:AF115)</f>
        <v>0</v>
      </c>
      <c r="AX33" s="76">
        <f>AG104+AG105+AG106+AG107+AG108+AG109+AG110+AG111+AG112+AG113</f>
        <v>0</v>
      </c>
      <c r="AY33" s="76">
        <f>AH104+AH105+AH106+AH107+AH108+AH109+AH110+AH111+AH112+AH113</f>
        <v>0</v>
      </c>
      <c r="BA33" s="76">
        <f>AJ104+AJ105+AJ106+AJ107+AJ108+AJ109+AJ110+AJ111+AJ112+AJ113</f>
        <v>0</v>
      </c>
    </row>
    <row r="34" spans="1:56" x14ac:dyDescent="0.25">
      <c r="A34" s="366"/>
      <c r="B34" s="369"/>
      <c r="C34" s="122" t="s">
        <v>58</v>
      </c>
      <c r="D34" s="123"/>
      <c r="E34" s="123"/>
      <c r="F34" s="129">
        <v>1</v>
      </c>
      <c r="G34" s="123"/>
      <c r="H34" s="123"/>
      <c r="I34" s="126"/>
      <c r="J34" s="126"/>
      <c r="K34" s="126"/>
      <c r="L34" s="126"/>
      <c r="M34" s="126"/>
      <c r="N34" s="126"/>
      <c r="O34" s="126"/>
      <c r="P34" s="125">
        <f t="shared" si="0"/>
        <v>1</v>
      </c>
      <c r="Q34" s="126"/>
      <c r="R34" s="126"/>
      <c r="S34" s="126"/>
      <c r="T34" s="126"/>
      <c r="U34" s="126"/>
      <c r="V34" s="126"/>
      <c r="W34" s="126"/>
      <c r="X34" s="125">
        <f t="shared" si="8"/>
        <v>0</v>
      </c>
      <c r="Y34" s="129">
        <v>2</v>
      </c>
      <c r="Z34" s="123"/>
      <c r="AA34" s="123"/>
      <c r="AB34" s="123"/>
      <c r="AC34" s="123"/>
      <c r="AD34" s="125">
        <f t="shared" si="9"/>
        <v>2</v>
      </c>
      <c r="AE34" s="123"/>
      <c r="AF34" s="123"/>
      <c r="AG34" s="123"/>
      <c r="AH34" s="123"/>
      <c r="AI34" s="123"/>
      <c r="AJ34" s="123"/>
      <c r="AK34" s="123"/>
      <c r="AL34" s="123"/>
      <c r="AM34" s="125">
        <f t="shared" si="1"/>
        <v>2</v>
      </c>
      <c r="AN34" s="128"/>
      <c r="AP34" s="76" t="s">
        <v>166</v>
      </c>
      <c r="AQ34" s="76">
        <f t="shared" si="13"/>
        <v>1</v>
      </c>
      <c r="AR34" s="76">
        <f>AA116+AA117+AA118+AA119+AA120+AA121+AA122+AA123+AA124+AA125</f>
        <v>3</v>
      </c>
      <c r="AS34" s="76">
        <f>SUM(AB116:AB127)</f>
        <v>3</v>
      </c>
      <c r="AT34" s="76">
        <f>SUM(AC116:AC127)</f>
        <v>2</v>
      </c>
      <c r="AU34" s="76"/>
      <c r="AV34" s="76">
        <f>SUM(AE116:AE127)</f>
        <v>1</v>
      </c>
      <c r="AW34" s="76">
        <f>SUM(AF116:AF127)</f>
        <v>0</v>
      </c>
      <c r="AX34" s="76">
        <f>AG116+AG117+AG118+AG119+AG120+AG121+AG122+AG123+AG124+AG125</f>
        <v>0</v>
      </c>
      <c r="AY34" s="76">
        <f>AH116+AH117+AH118+AH119+AH120+AH121+AH122+AH123+AH124+AH125</f>
        <v>0</v>
      </c>
      <c r="BA34" s="76">
        <f>AJ116+AJ117+AJ118+AJ119+AJ120+AJ121+AJ122+AJ123+AJ124+AJ125</f>
        <v>11</v>
      </c>
    </row>
    <row r="35" spans="1:56" x14ac:dyDescent="0.25">
      <c r="A35" s="366"/>
      <c r="B35" s="369"/>
      <c r="C35" s="122" t="s">
        <v>59</v>
      </c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5">
        <f t="shared" si="0"/>
        <v>0</v>
      </c>
      <c r="Q35" s="126"/>
      <c r="R35" s="126"/>
      <c r="S35" s="126"/>
      <c r="T35" s="126"/>
      <c r="U35" s="126"/>
      <c r="V35" s="126"/>
      <c r="W35" s="126"/>
      <c r="X35" s="125">
        <f t="shared" si="8"/>
        <v>0</v>
      </c>
      <c r="Y35" s="123"/>
      <c r="Z35" s="123"/>
      <c r="AA35" s="123"/>
      <c r="AB35" s="123"/>
      <c r="AC35" s="123"/>
      <c r="AD35" s="125">
        <f t="shared" si="9"/>
        <v>0</v>
      </c>
      <c r="AE35" s="123"/>
      <c r="AF35" s="123"/>
      <c r="AG35" s="123"/>
      <c r="AH35" s="123"/>
      <c r="AI35" s="123"/>
      <c r="AJ35" s="123"/>
      <c r="AK35" s="123"/>
      <c r="AL35" s="123"/>
      <c r="AM35" s="125">
        <f t="shared" si="1"/>
        <v>0</v>
      </c>
      <c r="AN35" s="128"/>
      <c r="AP35" s="76" t="s">
        <v>167</v>
      </c>
      <c r="AQ35" s="76">
        <f t="shared" si="13"/>
        <v>1</v>
      </c>
      <c r="AR35" s="76">
        <f>AA128+AA129+AA130+AA131+AA132+AA133+AA134+AA135+AA136+AA137</f>
        <v>1</v>
      </c>
      <c r="AS35" s="76">
        <f>SUM(AB128:AB139)</f>
        <v>0</v>
      </c>
      <c r="AT35" s="76">
        <f>SUM(AC128:AC139)</f>
        <v>0</v>
      </c>
      <c r="AU35" s="76"/>
      <c r="AV35" s="76">
        <f>SUM(AE128:AE139)</f>
        <v>107</v>
      </c>
      <c r="AW35" s="76">
        <f>SUM(AF128:AF139)</f>
        <v>1</v>
      </c>
      <c r="AX35" s="76">
        <f>AG128+AG129+AG130+AG131+AG132+AG133+AG134+AG135+AG136+AG137</f>
        <v>0</v>
      </c>
      <c r="AY35" s="76">
        <f>AH128+AH129+AH130+AH131+AH132+AH133+AH134+AH135+AH136+AH137</f>
        <v>0</v>
      </c>
      <c r="BA35" s="76">
        <f>AJ128+AJ129+AJ130+AJ131+AJ132+AJ133+AJ134+AJ135+AJ136+AJ137</f>
        <v>6</v>
      </c>
    </row>
    <row r="36" spans="1:56" x14ac:dyDescent="0.25">
      <c r="A36" s="366"/>
      <c r="B36" s="369"/>
      <c r="C36" s="122" t="s">
        <v>60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5">
        <f t="shared" si="0"/>
        <v>0</v>
      </c>
      <c r="Q36" s="126"/>
      <c r="R36" s="126"/>
      <c r="S36" s="126"/>
      <c r="T36" s="126"/>
      <c r="U36" s="126"/>
      <c r="V36" s="126"/>
      <c r="W36" s="126"/>
      <c r="X36" s="125">
        <f t="shared" si="8"/>
        <v>0</v>
      </c>
      <c r="Y36" s="123"/>
      <c r="Z36" s="123"/>
      <c r="AA36" s="123"/>
      <c r="AB36" s="123"/>
      <c r="AC36" s="123"/>
      <c r="AD36" s="125">
        <f t="shared" si="9"/>
        <v>0</v>
      </c>
      <c r="AE36" s="123"/>
      <c r="AF36" s="123"/>
      <c r="AG36" s="123"/>
      <c r="AH36" s="123"/>
      <c r="AI36" s="123"/>
      <c r="AJ36" s="123"/>
      <c r="AK36" s="123"/>
      <c r="AL36" s="123"/>
      <c r="AM36" s="125">
        <f t="shared" si="1"/>
        <v>0</v>
      </c>
      <c r="AN36" s="128"/>
      <c r="AP36" s="76" t="s">
        <v>168</v>
      </c>
      <c r="AQ36" s="76">
        <f t="shared" si="13"/>
        <v>1</v>
      </c>
      <c r="AR36" s="76">
        <f>AA140+AA141+AA142+AA143+AA144+AA145+AA146+AA147+AA148+AA149</f>
        <v>0</v>
      </c>
      <c r="AS36" s="76">
        <f t="shared" ref="AS36:AS48" si="14">SUM(AB19:AB30)</f>
        <v>0</v>
      </c>
      <c r="AT36" s="76" t="s">
        <v>169</v>
      </c>
      <c r="AU36" s="76"/>
      <c r="AV36" s="76">
        <f>SUM(AE140:AE151)</f>
        <v>0</v>
      </c>
      <c r="AW36" s="76">
        <f>SUM(AF140:AF151)</f>
        <v>3723.15</v>
      </c>
      <c r="AX36" s="76">
        <f>AG140+AG141+AG142+AG143+AG144+AG145+AG146+AG147+AG148+AG149</f>
        <v>0</v>
      </c>
      <c r="AY36" s="76">
        <f>AH140+AH141+AH142+AH143+AH144+AH145+AH146+AH147+AH148+AH149</f>
        <v>0</v>
      </c>
      <c r="BA36" s="76">
        <f>AJ140+AJ141+AJ142+AJ143+AJ144+AJ145+AJ146+AJ147+AJ148+AJ149</f>
        <v>0</v>
      </c>
    </row>
    <row r="37" spans="1:56" x14ac:dyDescent="0.25">
      <c r="A37" s="366"/>
      <c r="B37" s="369"/>
      <c r="C37" s="122" t="s">
        <v>61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5">
        <f t="shared" si="0"/>
        <v>0</v>
      </c>
      <c r="Q37" s="126"/>
      <c r="R37" s="126"/>
      <c r="S37" s="126"/>
      <c r="T37" s="126"/>
      <c r="U37" s="126"/>
      <c r="V37" s="126"/>
      <c r="W37" s="126"/>
      <c r="X37" s="125">
        <f t="shared" si="8"/>
        <v>0</v>
      </c>
      <c r="Y37" s="123"/>
      <c r="Z37" s="123"/>
      <c r="AA37" s="123"/>
      <c r="AB37" s="123"/>
      <c r="AC37" s="123"/>
      <c r="AD37" s="125">
        <f t="shared" si="9"/>
        <v>0</v>
      </c>
      <c r="AE37" s="123"/>
      <c r="AF37" s="123"/>
      <c r="AG37" s="123"/>
      <c r="AH37" s="123"/>
      <c r="AI37" s="123"/>
      <c r="AJ37" s="123"/>
      <c r="AK37" s="123"/>
      <c r="AL37" s="123"/>
      <c r="AM37" s="125">
        <f t="shared" si="1"/>
        <v>0</v>
      </c>
      <c r="AN37" s="128"/>
      <c r="AP37" s="76" t="s">
        <v>170</v>
      </c>
      <c r="AQ37" s="76">
        <f t="shared" si="13"/>
        <v>1</v>
      </c>
      <c r="AR37" s="76">
        <f>AA152+AA153+AA154+AA155+AA156+AA157+AA158+AA159+AA160+AA161</f>
        <v>27</v>
      </c>
      <c r="AS37" s="76">
        <f t="shared" si="14"/>
        <v>0</v>
      </c>
      <c r="AT37" s="76">
        <f>SUM(AC152:AC163)</f>
        <v>5</v>
      </c>
      <c r="AU37" s="76"/>
      <c r="AV37" s="76">
        <f>SUM(AE152:AE163)</f>
        <v>5579</v>
      </c>
      <c r="AW37" s="76">
        <f>SUM(AF152:AF163)</f>
        <v>11867.83</v>
      </c>
      <c r="AX37" s="76">
        <f>AG152+AG153+AG154+AG155+AG156+AG157+AG158+AG159+AG160+AG161</f>
        <v>0</v>
      </c>
      <c r="AY37" s="76">
        <f>AH152+AH153+AH154+AH155+AH156+AH157+AH158+AH159+AH160+AH161</f>
        <v>2420</v>
      </c>
      <c r="BA37" s="76">
        <f>AJ152+AJ153+AJ154+AJ155+AJ156+AJ157+AJ158+AJ159+AJ160+AJ161</f>
        <v>0</v>
      </c>
    </row>
    <row r="38" spans="1:56" x14ac:dyDescent="0.25">
      <c r="A38" s="366"/>
      <c r="B38" s="369"/>
      <c r="C38" s="122" t="s">
        <v>62</v>
      </c>
      <c r="D38" s="123"/>
      <c r="E38" s="129">
        <v>3</v>
      </c>
      <c r="F38" s="123"/>
      <c r="G38" s="129">
        <v>1</v>
      </c>
      <c r="H38" s="123"/>
      <c r="I38" s="129">
        <v>2</v>
      </c>
      <c r="J38" s="123"/>
      <c r="K38" s="129">
        <v>2</v>
      </c>
      <c r="L38" s="129">
        <v>4</v>
      </c>
      <c r="M38" s="129">
        <v>4</v>
      </c>
      <c r="N38" s="129">
        <v>1</v>
      </c>
      <c r="O38" s="123"/>
      <c r="P38" s="125">
        <f t="shared" si="0"/>
        <v>17</v>
      </c>
      <c r="Q38" s="129">
        <f>4+2+1+2+5</f>
        <v>14</v>
      </c>
      <c r="R38" s="129">
        <v>1</v>
      </c>
      <c r="S38" s="126"/>
      <c r="T38" s="126"/>
      <c r="U38" s="126"/>
      <c r="V38" s="129">
        <v>2</v>
      </c>
      <c r="W38" s="126"/>
      <c r="X38" s="125">
        <f t="shared" si="8"/>
        <v>3</v>
      </c>
      <c r="Y38" s="129">
        <f>6+1+2+4+2+6+2</f>
        <v>23</v>
      </c>
      <c r="Z38" s="123"/>
      <c r="AA38" s="129">
        <v>1</v>
      </c>
      <c r="AB38" s="123"/>
      <c r="AC38" s="123"/>
      <c r="AD38" s="125">
        <f t="shared" si="9"/>
        <v>24</v>
      </c>
      <c r="AE38" s="123"/>
      <c r="AF38" s="123"/>
      <c r="AG38" s="123"/>
      <c r="AH38" s="123"/>
      <c r="AI38" s="123"/>
      <c r="AJ38" s="129">
        <v>1</v>
      </c>
      <c r="AK38" s="123"/>
      <c r="AL38" s="123"/>
      <c r="AM38" s="125">
        <f t="shared" si="1"/>
        <v>27</v>
      </c>
      <c r="AN38" s="138">
        <f>295000000+25000000</f>
        <v>320000000</v>
      </c>
      <c r="AP38" s="76" t="s">
        <v>171</v>
      </c>
      <c r="AQ38" s="76">
        <f t="shared" si="13"/>
        <v>0</v>
      </c>
      <c r="AR38" s="76">
        <f>AA164+AA165+AA166+AA167+AA168+AA169+AA170+AA171+AA172+AA173</f>
        <v>0</v>
      </c>
      <c r="AS38" s="76">
        <f t="shared" si="14"/>
        <v>0</v>
      </c>
      <c r="AT38" s="76">
        <f>SUM(AC164:AC175)</f>
        <v>0</v>
      </c>
      <c r="AU38" s="76"/>
      <c r="AV38" s="76">
        <f>SUM(AE164:AE175)</f>
        <v>28</v>
      </c>
      <c r="AW38" s="76">
        <f>SUM(AF164:AF175)</f>
        <v>3022</v>
      </c>
      <c r="AX38" s="76">
        <f>AG164+AG165+AG166+AG167+AG168+AG169+AG170+AG171+AG172+AG173</f>
        <v>0</v>
      </c>
      <c r="AY38" s="76">
        <f>AH164+AH165+AH166+AH167+AH168+AH169+AH170+AH171+AH172+AH173</f>
        <v>0</v>
      </c>
      <c r="BA38" s="76">
        <f>AJ164+AJ165+AJ166+AJ167+AJ168+AJ169+AJ170+AJ171+AJ172+AJ173</f>
        <v>5</v>
      </c>
    </row>
    <row r="39" spans="1:56" x14ac:dyDescent="0.25">
      <c r="A39" s="366"/>
      <c r="B39" s="369"/>
      <c r="C39" s="122" t="s">
        <v>63</v>
      </c>
      <c r="D39" s="129">
        <v>1</v>
      </c>
      <c r="E39" s="123"/>
      <c r="F39" s="123"/>
      <c r="G39" s="123"/>
      <c r="H39" s="123"/>
      <c r="I39" s="123"/>
      <c r="J39" s="123"/>
      <c r="K39" s="123"/>
      <c r="L39" s="129">
        <v>2</v>
      </c>
      <c r="M39" s="123"/>
      <c r="N39" s="123"/>
      <c r="O39" s="123"/>
      <c r="P39" s="125">
        <f t="shared" si="0"/>
        <v>3</v>
      </c>
      <c r="Q39" s="129">
        <v>1</v>
      </c>
      <c r="R39" s="123"/>
      <c r="S39" s="123"/>
      <c r="T39" s="123"/>
      <c r="U39" s="123"/>
      <c r="V39" s="123"/>
      <c r="W39" s="123"/>
      <c r="X39" s="125">
        <f t="shared" si="8"/>
        <v>0</v>
      </c>
      <c r="Y39" s="129">
        <f>32+2</f>
        <v>34</v>
      </c>
      <c r="Z39" s="123"/>
      <c r="AA39" s="123"/>
      <c r="AB39" s="123"/>
      <c r="AC39" s="123"/>
      <c r="AD39" s="125">
        <f t="shared" si="9"/>
        <v>34</v>
      </c>
      <c r="AE39" s="123"/>
      <c r="AF39" s="123"/>
      <c r="AG39" s="123"/>
      <c r="AH39" s="123"/>
      <c r="AI39" s="123"/>
      <c r="AJ39" s="123"/>
      <c r="AK39" s="123"/>
      <c r="AL39" s="123"/>
      <c r="AM39" s="125">
        <f t="shared" si="1"/>
        <v>34</v>
      </c>
      <c r="AN39" s="128"/>
      <c r="AP39" s="76" t="s">
        <v>172</v>
      </c>
      <c r="AQ39" s="76">
        <f t="shared" si="13"/>
        <v>0</v>
      </c>
      <c r="AR39" s="76">
        <f>AA176+AA177+AA178+AA179+AA180+AA181+AA182+AA183+AA184+AA185</f>
        <v>0</v>
      </c>
      <c r="AS39" s="76">
        <f t="shared" si="14"/>
        <v>0</v>
      </c>
      <c r="AT39" s="76">
        <f>SUM(AC176:AC187)</f>
        <v>0</v>
      </c>
      <c r="AU39" s="76"/>
      <c r="AV39" s="76">
        <f>SUM(AE176:AE187)</f>
        <v>0</v>
      </c>
      <c r="AW39" s="76">
        <f>SUM(AF176:AF187)</f>
        <v>2537</v>
      </c>
      <c r="AX39" s="76">
        <f>AG176+AG177+AG178+AG179+AG180+AG181+AG182+AG183+AG184+AG185</f>
        <v>0</v>
      </c>
      <c r="AY39" s="76">
        <f>AH176+AH177+AH178+AH179+AH180+AH181+AH182+AH183+AH184+AH185</f>
        <v>0</v>
      </c>
      <c r="BA39" s="76">
        <f>AJ176+AJ177+AJ178+AJ179+AJ180+AJ181+AJ182+AJ183+AJ184+AJ185</f>
        <v>2</v>
      </c>
    </row>
    <row r="40" spans="1:56" x14ac:dyDescent="0.25">
      <c r="A40" s="366"/>
      <c r="B40" s="369"/>
      <c r="C40" s="122" t="s">
        <v>64</v>
      </c>
      <c r="D40" s="123"/>
      <c r="E40" s="123"/>
      <c r="F40" s="123"/>
      <c r="G40" s="123"/>
      <c r="H40" s="123"/>
      <c r="I40" s="126"/>
      <c r="J40" s="123"/>
      <c r="K40" s="123"/>
      <c r="L40" s="123"/>
      <c r="M40" s="123"/>
      <c r="N40" s="123"/>
      <c r="O40" s="123"/>
      <c r="P40" s="125">
        <f t="shared" si="0"/>
        <v>0</v>
      </c>
      <c r="Q40" s="123"/>
      <c r="R40" s="126"/>
      <c r="S40" s="126"/>
      <c r="T40" s="126"/>
      <c r="U40" s="126"/>
      <c r="V40" s="126"/>
      <c r="W40" s="123"/>
      <c r="X40" s="125">
        <f t="shared" si="8"/>
        <v>0</v>
      </c>
      <c r="Y40" s="123"/>
      <c r="Z40" s="123"/>
      <c r="AA40" s="123"/>
      <c r="AB40" s="123"/>
      <c r="AC40" s="123"/>
      <c r="AD40" s="125">
        <f t="shared" si="9"/>
        <v>0</v>
      </c>
      <c r="AE40" s="123"/>
      <c r="AF40" s="123"/>
      <c r="AG40" s="123"/>
      <c r="AH40" s="123"/>
      <c r="AI40" s="123"/>
      <c r="AJ40" s="123"/>
      <c r="AK40" s="123"/>
      <c r="AL40" s="123"/>
      <c r="AM40" s="125">
        <f t="shared" si="1"/>
        <v>0</v>
      </c>
      <c r="AN40" s="128"/>
      <c r="AP40" s="76" t="s">
        <v>173</v>
      </c>
      <c r="AQ40" s="76">
        <f t="shared" si="13"/>
        <v>0</v>
      </c>
      <c r="AR40" s="76">
        <f>AA188+AA189+AA190+AA191+AA192+AA193+AA194+AA195+AA196+AA197</f>
        <v>0</v>
      </c>
      <c r="AS40" s="76">
        <f t="shared" si="14"/>
        <v>0</v>
      </c>
      <c r="AT40" s="76">
        <f>SUM(AC188:AC199)</f>
        <v>0</v>
      </c>
      <c r="AU40" s="76"/>
      <c r="AV40" s="76">
        <f>SUM(AE188:AE199)</f>
        <v>73</v>
      </c>
      <c r="AW40" s="76">
        <f>SUM(AF188:AF199)</f>
        <v>115</v>
      </c>
      <c r="AX40" s="76">
        <f>AG188+AG189+AG190+AG191+AG192+AG193+AG194+AG195+AG196+AG197</f>
        <v>0</v>
      </c>
      <c r="AY40" s="76">
        <f>AH188+AH189+AH190+AH191+AH192+AH193+AH194+AH195+AH196+AH197</f>
        <v>0.5</v>
      </c>
      <c r="BA40" s="76">
        <f>AJ188+AJ189+AJ190+AJ191+AJ192+AJ193+AJ194+AJ195+AJ196+AJ197</f>
        <v>1</v>
      </c>
    </row>
    <row r="41" spans="1:56" x14ac:dyDescent="0.25">
      <c r="A41" s="366"/>
      <c r="B41" s="369"/>
      <c r="C41" s="140" t="s">
        <v>65</v>
      </c>
      <c r="D41" s="123"/>
      <c r="E41" s="123"/>
      <c r="F41" s="123"/>
      <c r="G41" s="123"/>
      <c r="H41" s="123"/>
      <c r="I41" s="126"/>
      <c r="J41" s="123"/>
      <c r="K41" s="123"/>
      <c r="L41" s="123"/>
      <c r="M41" s="123"/>
      <c r="N41" s="123"/>
      <c r="O41" s="123"/>
      <c r="P41" s="125">
        <f t="shared" si="0"/>
        <v>0</v>
      </c>
      <c r="Q41" s="126"/>
      <c r="R41" s="126"/>
      <c r="S41" s="126"/>
      <c r="T41" s="126"/>
      <c r="U41" s="126"/>
      <c r="V41" s="126"/>
      <c r="W41" s="126"/>
      <c r="X41" s="125">
        <f t="shared" si="8"/>
        <v>0</v>
      </c>
      <c r="Y41" s="126"/>
      <c r="Z41" s="123"/>
      <c r="AA41" s="123"/>
      <c r="AB41" s="123"/>
      <c r="AC41" s="123"/>
      <c r="AD41" s="125">
        <f t="shared" si="9"/>
        <v>0</v>
      </c>
      <c r="AE41" s="123"/>
      <c r="AF41" s="123"/>
      <c r="AG41" s="123"/>
      <c r="AH41" s="123"/>
      <c r="AI41" s="123"/>
      <c r="AJ41" s="123"/>
      <c r="AK41" s="123"/>
      <c r="AL41" s="123"/>
      <c r="AM41" s="125">
        <f t="shared" si="1"/>
        <v>0</v>
      </c>
      <c r="AN41" s="128"/>
      <c r="AP41" s="76" t="s">
        <v>174</v>
      </c>
      <c r="AQ41" s="76">
        <f t="shared" si="13"/>
        <v>0</v>
      </c>
      <c r="AR41" s="76">
        <f>AA200+AA201+AA202+AA203+AA204+AA205+AA206+AA207+AA208+AA209</f>
        <v>1</v>
      </c>
      <c r="AS41" s="76">
        <f t="shared" si="14"/>
        <v>0</v>
      </c>
      <c r="AT41" s="76">
        <f>SUM(AC200:AC211)</f>
        <v>1</v>
      </c>
      <c r="AU41" s="76"/>
      <c r="AV41" s="76">
        <f>SUM(AE200:AE211)</f>
        <v>0</v>
      </c>
      <c r="AW41" s="76">
        <f>SUM(AF200:AF211)</f>
        <v>485</v>
      </c>
      <c r="AX41" s="76">
        <f>AG200+AG201+AG202+AG203+AG204+AG205+AG206+AG207+AG208+AG209</f>
        <v>100</v>
      </c>
      <c r="AY41" s="76">
        <f>AH200+AH201+AH202+AH203+AH204+AH205+AH206+AH207+AH208+AH209</f>
        <v>233</v>
      </c>
      <c r="BA41" s="76">
        <f>AJ200+AJ201+AJ202+AJ203+AJ204+AJ205+AJ206+AJ207+AJ208+AJ209</f>
        <v>2</v>
      </c>
    </row>
    <row r="42" spans="1:56" x14ac:dyDescent="0.25">
      <c r="A42" s="366"/>
      <c r="B42" s="369"/>
      <c r="C42" s="147" t="s">
        <v>66</v>
      </c>
      <c r="D42" s="123"/>
      <c r="E42" s="123"/>
      <c r="F42" s="123"/>
      <c r="G42" s="123"/>
      <c r="H42" s="123"/>
      <c r="I42" s="126"/>
      <c r="J42" s="123"/>
      <c r="K42" s="123"/>
      <c r="L42" s="129">
        <v>4</v>
      </c>
      <c r="M42" s="129">
        <v>4</v>
      </c>
      <c r="N42" s="123"/>
      <c r="O42" s="123"/>
      <c r="P42" s="125">
        <f t="shared" si="0"/>
        <v>8</v>
      </c>
      <c r="Q42" s="126"/>
      <c r="R42" s="126"/>
      <c r="S42" s="126"/>
      <c r="T42" s="126"/>
      <c r="U42" s="126"/>
      <c r="V42" s="126"/>
      <c r="W42" s="126"/>
      <c r="X42" s="125">
        <f t="shared" si="8"/>
        <v>0</v>
      </c>
      <c r="Y42" s="126"/>
      <c r="Z42" s="123"/>
      <c r="AA42" s="123"/>
      <c r="AB42" s="123"/>
      <c r="AC42" s="123"/>
      <c r="AD42" s="125">
        <f t="shared" si="9"/>
        <v>0</v>
      </c>
      <c r="AE42" s="123"/>
      <c r="AF42" s="123"/>
      <c r="AG42" s="123"/>
      <c r="AH42" s="123"/>
      <c r="AI42" s="123"/>
      <c r="AJ42" s="123"/>
      <c r="AK42" s="123"/>
      <c r="AL42" s="123"/>
      <c r="AM42" s="125">
        <f t="shared" si="1"/>
        <v>0</v>
      </c>
      <c r="AN42" s="128"/>
      <c r="AP42" s="76" t="s">
        <v>175</v>
      </c>
      <c r="AQ42" s="76">
        <f t="shared" si="13"/>
        <v>0</v>
      </c>
      <c r="AR42" s="76">
        <f>AA212+AA213+AA214+AA215+AA216+AA217+AA218+AA219+AA220+AA221</f>
        <v>1</v>
      </c>
      <c r="AS42" s="76">
        <f t="shared" si="14"/>
        <v>0</v>
      </c>
      <c r="AT42" s="76">
        <f>SUM(AC212:AC223)</f>
        <v>0</v>
      </c>
      <c r="AU42" s="76"/>
      <c r="AV42" s="76">
        <f>SUM(AE212:AE223)</f>
        <v>0</v>
      </c>
      <c r="AW42" s="76">
        <f>SUM(AF212:AF223)</f>
        <v>0</v>
      </c>
      <c r="AX42" s="76">
        <f>AG212+AG213+AG214+AG215+AG216+AG217+AG218+AG219+AG220+AG221</f>
        <v>0</v>
      </c>
      <c r="AY42" s="76">
        <f>AH212+AH213+AH214+AH215+AH216+AH217+AH218+AH219+AH220+AH221</f>
        <v>0</v>
      </c>
      <c r="BA42" s="76">
        <f>AJ212+AJ213+AJ214+AJ215+AJ216+AJ217+AJ218+AJ219+AJ220+AJ221</f>
        <v>0</v>
      </c>
    </row>
    <row r="43" spans="1:56" s="218" customFormat="1" x14ac:dyDescent="0.25">
      <c r="A43" s="367"/>
      <c r="B43" s="370"/>
      <c r="C43" s="221" t="s">
        <v>67</v>
      </c>
      <c r="D43" s="214"/>
      <c r="E43" s="214"/>
      <c r="F43" s="214"/>
      <c r="G43" s="214"/>
      <c r="H43" s="214"/>
      <c r="I43" s="222"/>
      <c r="J43" s="214"/>
      <c r="K43" s="214"/>
      <c r="L43" s="214"/>
      <c r="M43" s="214"/>
      <c r="N43" s="214"/>
      <c r="O43" s="214"/>
      <c r="P43" s="215">
        <f t="shared" si="0"/>
        <v>0</v>
      </c>
      <c r="Q43" s="222"/>
      <c r="R43" s="222"/>
      <c r="S43" s="222"/>
      <c r="T43" s="222"/>
      <c r="U43" s="222"/>
      <c r="V43" s="222"/>
      <c r="W43" s="222"/>
      <c r="X43" s="215">
        <f t="shared" si="8"/>
        <v>0</v>
      </c>
      <c r="Y43" s="222"/>
      <c r="Z43" s="214"/>
      <c r="AA43" s="214"/>
      <c r="AB43" s="214"/>
      <c r="AC43" s="214"/>
      <c r="AD43" s="215">
        <f t="shared" si="9"/>
        <v>0</v>
      </c>
      <c r="AE43" s="214"/>
      <c r="AF43" s="214"/>
      <c r="AG43" s="214"/>
      <c r="AH43" s="214"/>
      <c r="AI43" s="214"/>
      <c r="AJ43" s="214"/>
      <c r="AK43" s="214"/>
      <c r="AL43" s="214"/>
      <c r="AM43" s="215">
        <f t="shared" si="1"/>
        <v>0</v>
      </c>
      <c r="AN43" s="216"/>
      <c r="AO43" s="217"/>
      <c r="AP43" s="76" t="s">
        <v>176</v>
      </c>
      <c r="AQ43" s="76">
        <f t="shared" si="13"/>
        <v>0</v>
      </c>
      <c r="AR43" s="76">
        <f>AA224+AA225+AA226+AA227+AA228+AA229+AA230+AA231+AA232+AA233</f>
        <v>19</v>
      </c>
      <c r="AS43" s="76">
        <f t="shared" si="14"/>
        <v>0</v>
      </c>
      <c r="AT43" s="76">
        <f>SUM(AC224:AC235)</f>
        <v>3</v>
      </c>
      <c r="AU43" s="76"/>
      <c r="AV43" s="76">
        <f>SUM(AE224:AE235)</f>
        <v>20.5</v>
      </c>
      <c r="AW43" s="76">
        <f>SUM(AF224:AF235)</f>
        <v>1210</v>
      </c>
      <c r="AX43" s="76">
        <f>AG224+AG225+AG226+AG227+AG228+AG229+AG230+AG231+AG232+AG233</f>
        <v>0</v>
      </c>
      <c r="AY43" s="76">
        <f>AH224+AH225+AH226+AH227+AH228+AH229+AH230+AH231+AH232+AH233</f>
        <v>13513.5</v>
      </c>
      <c r="BA43" s="76">
        <f>AJ224+AJ225+AJ226+AJ227+AJ228+AJ229+AJ230+AJ231+AJ232+AJ233</f>
        <v>0</v>
      </c>
      <c r="BD43" s="224"/>
    </row>
    <row r="44" spans="1:56" x14ac:dyDescent="0.25">
      <c r="A44" s="365">
        <v>4</v>
      </c>
      <c r="B44" s="368" t="s">
        <v>20</v>
      </c>
      <c r="C44" s="143" t="s">
        <v>56</v>
      </c>
      <c r="D44" s="207"/>
      <c r="E44" s="176"/>
      <c r="F44" s="176"/>
      <c r="G44" s="176"/>
      <c r="H44" s="176"/>
      <c r="I44" s="176"/>
      <c r="J44" s="207"/>
      <c r="K44" s="207"/>
      <c r="L44" s="207"/>
      <c r="M44" s="207"/>
      <c r="N44" s="207"/>
      <c r="O44" s="207"/>
      <c r="P44" s="209">
        <f t="shared" si="0"/>
        <v>0</v>
      </c>
      <c r="Q44" s="207"/>
      <c r="R44" s="207"/>
      <c r="S44" s="207"/>
      <c r="T44" s="207"/>
      <c r="U44" s="207"/>
      <c r="V44" s="207"/>
      <c r="W44" s="207"/>
      <c r="X44" s="209">
        <f t="shared" si="8"/>
        <v>0</v>
      </c>
      <c r="Y44" s="207"/>
      <c r="Z44" s="176"/>
      <c r="AA44" s="176"/>
      <c r="AB44" s="176"/>
      <c r="AC44" s="176"/>
      <c r="AD44" s="209">
        <f t="shared" si="9"/>
        <v>0</v>
      </c>
      <c r="AE44" s="176"/>
      <c r="AF44" s="176"/>
      <c r="AG44" s="176"/>
      <c r="AH44" s="176"/>
      <c r="AI44" s="176"/>
      <c r="AJ44" s="176"/>
      <c r="AK44" s="176"/>
      <c r="AL44" s="176"/>
      <c r="AM44" s="209">
        <f t="shared" si="1"/>
        <v>0</v>
      </c>
      <c r="AN44" s="219"/>
      <c r="AP44" s="220" t="s">
        <v>177</v>
      </c>
      <c r="AQ44" s="220">
        <f t="shared" si="13"/>
        <v>0</v>
      </c>
      <c r="AR44" s="220">
        <f>AA236+AA237+AA238+AA239+AA240+AA241+AA242+AA243+AA244+AA245</f>
        <v>0</v>
      </c>
      <c r="AS44" s="220">
        <f t="shared" si="14"/>
        <v>0</v>
      </c>
      <c r="AT44" s="220">
        <f>SUM(AC236:AC247)</f>
        <v>0</v>
      </c>
      <c r="AU44" s="220"/>
      <c r="AV44" s="220">
        <f>SUM(AE236:AE247)</f>
        <v>5</v>
      </c>
      <c r="AW44" s="220">
        <f>SUM(AF236:AF247)</f>
        <v>1</v>
      </c>
      <c r="AX44" s="220">
        <f>AG236+AG237+AG238+AG239+AG240+AG241+AG242+AG243+AG244+AG245</f>
        <v>0</v>
      </c>
      <c r="AY44" s="220">
        <f>AH236+AH237+AH238+AH239+AH240+AH241+AH242+AH243+AH244+AH245</f>
        <v>0</v>
      </c>
      <c r="BA44" s="220">
        <f>AJ236+AJ237+AJ238+AJ239+AJ240+AJ241+AJ242+AJ243+AJ244+AJ245</f>
        <v>0</v>
      </c>
    </row>
    <row r="45" spans="1:56" x14ac:dyDescent="0.25">
      <c r="A45" s="366"/>
      <c r="B45" s="369"/>
      <c r="C45" s="122" t="s">
        <v>57</v>
      </c>
      <c r="D45" s="126"/>
      <c r="E45" s="123"/>
      <c r="F45" s="123"/>
      <c r="G45" s="123"/>
      <c r="H45" s="123"/>
      <c r="I45" s="123"/>
      <c r="J45" s="126"/>
      <c r="K45" s="126"/>
      <c r="L45" s="126"/>
      <c r="M45" s="126"/>
      <c r="N45" s="126"/>
      <c r="O45" s="126"/>
      <c r="P45" s="125">
        <f t="shared" si="0"/>
        <v>0</v>
      </c>
      <c r="Q45" s="126"/>
      <c r="R45" s="126"/>
      <c r="S45" s="126"/>
      <c r="T45" s="126"/>
      <c r="U45" s="126"/>
      <c r="V45" s="126"/>
      <c r="W45" s="126"/>
      <c r="X45" s="125">
        <f t="shared" si="8"/>
        <v>0</v>
      </c>
      <c r="Y45" s="126"/>
      <c r="Z45" s="123"/>
      <c r="AA45" s="123"/>
      <c r="AB45" s="123"/>
      <c r="AC45" s="123"/>
      <c r="AD45" s="125">
        <f t="shared" si="9"/>
        <v>0</v>
      </c>
      <c r="AE45" s="123"/>
      <c r="AF45" s="123">
        <v>0</v>
      </c>
      <c r="AG45" s="123"/>
      <c r="AH45" s="123"/>
      <c r="AI45" s="123"/>
      <c r="AJ45" s="123"/>
      <c r="AK45" s="123"/>
      <c r="AL45" s="123"/>
      <c r="AM45" s="125">
        <f t="shared" si="1"/>
        <v>0</v>
      </c>
      <c r="AN45" s="128"/>
      <c r="AP45" s="76" t="s">
        <v>178</v>
      </c>
      <c r="AQ45" s="76">
        <f t="shared" si="13"/>
        <v>0</v>
      </c>
      <c r="AR45" s="76">
        <f>AA248+AA249+AA250+AA251+AA252+AA253+AA254+AA255+AA256+AA257</f>
        <v>1</v>
      </c>
      <c r="AS45" s="76">
        <f t="shared" si="14"/>
        <v>0</v>
      </c>
      <c r="AT45" s="76">
        <f>SUM(AC248:AC259)</f>
        <v>0</v>
      </c>
      <c r="AU45" s="76"/>
      <c r="AV45" s="76">
        <f>SUM(AE248:AE259)</f>
        <v>0</v>
      </c>
      <c r="AW45" s="76">
        <f>SUM(AF248:AF259)</f>
        <v>0</v>
      </c>
      <c r="AX45" s="76">
        <f>AG248+AG249+AG250+AG251+AG252+AG253+AG254+AG255+AG256+AG257</f>
        <v>0</v>
      </c>
      <c r="AY45" s="76">
        <f>AH248+AH249+AH250+AH251+AH252+AH253+AH254+AH255+AH256+AH257</f>
        <v>0</v>
      </c>
      <c r="BA45" s="76">
        <f>AJ248+AJ249+AJ250+AJ251+AJ252+AJ253+AJ254+AJ255+AJ256+AJ257</f>
        <v>0</v>
      </c>
    </row>
    <row r="46" spans="1:56" x14ac:dyDescent="0.25">
      <c r="A46" s="366"/>
      <c r="B46" s="369"/>
      <c r="C46" s="122" t="s">
        <v>58</v>
      </c>
      <c r="D46" s="126"/>
      <c r="E46" s="123"/>
      <c r="F46" s="123"/>
      <c r="G46" s="123"/>
      <c r="H46" s="123"/>
      <c r="I46" s="123"/>
      <c r="J46" s="126"/>
      <c r="K46" s="126"/>
      <c r="L46" s="126"/>
      <c r="M46" s="126"/>
      <c r="N46" s="126"/>
      <c r="O46" s="126"/>
      <c r="P46" s="125">
        <f t="shared" si="0"/>
        <v>0</v>
      </c>
      <c r="Q46" s="126"/>
      <c r="R46" s="126"/>
      <c r="S46" s="126"/>
      <c r="T46" s="126"/>
      <c r="U46" s="126"/>
      <c r="V46" s="126"/>
      <c r="W46" s="126"/>
      <c r="X46" s="125">
        <f t="shared" si="8"/>
        <v>0</v>
      </c>
      <c r="Y46" s="126"/>
      <c r="Z46" s="123"/>
      <c r="AA46" s="123"/>
      <c r="AB46" s="123"/>
      <c r="AC46" s="123"/>
      <c r="AD46" s="125">
        <f t="shared" si="9"/>
        <v>0</v>
      </c>
      <c r="AE46" s="123"/>
      <c r="AF46" s="123"/>
      <c r="AG46" s="123"/>
      <c r="AH46" s="123"/>
      <c r="AI46" s="123"/>
      <c r="AJ46" s="123"/>
      <c r="AK46" s="123"/>
      <c r="AL46" s="123"/>
      <c r="AM46" s="125">
        <f t="shared" si="1"/>
        <v>0</v>
      </c>
      <c r="AN46" s="128"/>
      <c r="AP46" s="76" t="s">
        <v>179</v>
      </c>
      <c r="AQ46" s="76">
        <f t="shared" si="13"/>
        <v>0</v>
      </c>
      <c r="AR46" s="76">
        <f>AA260+AA261+AA262+AA263+AA264+AA265+AA266+AA267+AA268+AA269</f>
        <v>3</v>
      </c>
      <c r="AS46" s="76">
        <f t="shared" si="14"/>
        <v>0</v>
      </c>
      <c r="AT46" s="76">
        <f>SUM(AC260:AC271)</f>
        <v>1</v>
      </c>
      <c r="AU46" s="76"/>
      <c r="AV46" s="76">
        <f>SUM(AE260:AE271)</f>
        <v>3</v>
      </c>
      <c r="AW46" s="76">
        <f>SUM(AF260:AF271)</f>
        <v>1</v>
      </c>
      <c r="AX46" s="76">
        <f>AG260+AG261+AG262+AG263+AG264+AG265+AG266+AG267+AG268+AG269</f>
        <v>0</v>
      </c>
      <c r="AY46" s="76">
        <f>AH260+AH261+AH262+AH263+AH264+AH265+AH266+AH267+AH268+AH269</f>
        <v>0</v>
      </c>
      <c r="BA46" s="76">
        <f>AJ260+AJ261+AJ262+AJ263+AJ264+AJ265+AJ266+AJ267+AJ268+AJ269</f>
        <v>5</v>
      </c>
    </row>
    <row r="47" spans="1:56" x14ac:dyDescent="0.25">
      <c r="A47" s="366"/>
      <c r="B47" s="369"/>
      <c r="C47" s="122" t="s">
        <v>59</v>
      </c>
      <c r="D47" s="126"/>
      <c r="E47" s="123"/>
      <c r="F47" s="123"/>
      <c r="G47" s="123"/>
      <c r="H47" s="123"/>
      <c r="I47" s="123"/>
      <c r="J47" s="126"/>
      <c r="K47" s="126"/>
      <c r="L47" s="126"/>
      <c r="M47" s="126"/>
      <c r="N47" s="126"/>
      <c r="O47" s="126"/>
      <c r="P47" s="125">
        <f t="shared" si="0"/>
        <v>0</v>
      </c>
      <c r="Q47" s="126"/>
      <c r="R47" s="126"/>
      <c r="S47" s="126"/>
      <c r="T47" s="126"/>
      <c r="U47" s="126"/>
      <c r="V47" s="126"/>
      <c r="W47" s="126"/>
      <c r="X47" s="125">
        <f t="shared" si="8"/>
        <v>0</v>
      </c>
      <c r="Y47" s="126"/>
      <c r="Z47" s="123"/>
      <c r="AA47" s="123"/>
      <c r="AB47" s="123"/>
      <c r="AC47" s="123"/>
      <c r="AD47" s="125">
        <f t="shared" si="9"/>
        <v>0</v>
      </c>
      <c r="AE47" s="123"/>
      <c r="AF47" s="123"/>
      <c r="AG47" s="123"/>
      <c r="AH47" s="123"/>
      <c r="AI47" s="123"/>
      <c r="AJ47" s="123"/>
      <c r="AK47" s="123"/>
      <c r="AL47" s="123"/>
      <c r="AM47" s="125">
        <f t="shared" si="1"/>
        <v>0</v>
      </c>
      <c r="AN47" s="128"/>
      <c r="AP47" s="76" t="s">
        <v>180</v>
      </c>
      <c r="AQ47" s="76">
        <f t="shared" si="13"/>
        <v>0</v>
      </c>
      <c r="AR47" s="76">
        <f>AA272+AA273+AA274+AA275+AA276+AA277+AA278+AA279+AA280+AA281</f>
        <v>0</v>
      </c>
      <c r="AS47" s="76">
        <f t="shared" si="14"/>
        <v>0</v>
      </c>
      <c r="AT47" s="76">
        <f>SUM(AC272:AC283)</f>
        <v>0</v>
      </c>
      <c r="AU47" s="76"/>
      <c r="AV47" s="76">
        <f>SUM(AE272:AE283)</f>
        <v>56</v>
      </c>
      <c r="AW47" s="76">
        <f>SUM(AF272:AF283)</f>
        <v>0</v>
      </c>
      <c r="AX47" s="76">
        <f>AG272+AG273+AG274+AG275+AG276+AG277+AG278+AG279+AG280+AG281</f>
        <v>0</v>
      </c>
      <c r="AY47" s="76">
        <f>AH272+AH273+AH274+AH275+AH276+AH277+AH278+AH279+AH280+AH281</f>
        <v>100</v>
      </c>
      <c r="BA47" s="76">
        <f>AJ272+AJ273+AJ274+AJ275+AJ276+AJ277+AJ278+AJ279+AJ280+AJ281</f>
        <v>1</v>
      </c>
    </row>
    <row r="48" spans="1:56" x14ac:dyDescent="0.25">
      <c r="A48" s="366"/>
      <c r="B48" s="369"/>
      <c r="C48" s="122" t="s">
        <v>60</v>
      </c>
      <c r="D48" s="126"/>
      <c r="E48" s="123"/>
      <c r="F48" s="123"/>
      <c r="G48" s="123"/>
      <c r="H48" s="123"/>
      <c r="I48" s="123"/>
      <c r="J48" s="126"/>
      <c r="K48" s="126"/>
      <c r="L48" s="126"/>
      <c r="M48" s="126"/>
      <c r="N48" s="126"/>
      <c r="O48" s="126"/>
      <c r="P48" s="125">
        <f t="shared" si="0"/>
        <v>0</v>
      </c>
      <c r="Q48" s="126"/>
      <c r="R48" s="126"/>
      <c r="S48" s="126"/>
      <c r="T48" s="126"/>
      <c r="U48" s="126"/>
      <c r="V48" s="126"/>
      <c r="W48" s="126"/>
      <c r="X48" s="125">
        <f t="shared" si="8"/>
        <v>0</v>
      </c>
      <c r="Y48" s="126"/>
      <c r="Z48" s="123"/>
      <c r="AA48" s="123"/>
      <c r="AB48" s="123"/>
      <c r="AC48" s="123"/>
      <c r="AD48" s="125">
        <f t="shared" si="9"/>
        <v>0</v>
      </c>
      <c r="AE48" s="123"/>
      <c r="AF48" s="123"/>
      <c r="AG48" s="123"/>
      <c r="AH48" s="123"/>
      <c r="AI48" s="123"/>
      <c r="AJ48" s="123"/>
      <c r="AK48" s="123"/>
      <c r="AL48" s="123"/>
      <c r="AM48" s="125">
        <f t="shared" si="1"/>
        <v>0</v>
      </c>
      <c r="AN48" s="128"/>
      <c r="AP48" s="76" t="s">
        <v>181</v>
      </c>
      <c r="AQ48" s="76">
        <f t="shared" si="13"/>
        <v>0</v>
      </c>
      <c r="AR48" s="76">
        <f>AA284+AA285+AA286+AA287+AA288+AA289+AA290+AA291+AA292+AA293</f>
        <v>0</v>
      </c>
      <c r="AS48" s="76">
        <f t="shared" si="14"/>
        <v>0</v>
      </c>
      <c r="AT48" s="76">
        <f>SUM(AC284:AC295)</f>
        <v>0</v>
      </c>
      <c r="AU48" s="76"/>
      <c r="AV48" s="76">
        <f>SUM(AE284:AE295)</f>
        <v>0</v>
      </c>
      <c r="AW48" s="76">
        <f>SUM(AF284:AF295)</f>
        <v>0</v>
      </c>
      <c r="AX48" s="76">
        <f>AG284+AG285+AG286+AG287+AG288+AG289+AG290+AG291+AG292+AG293</f>
        <v>0</v>
      </c>
      <c r="AY48" s="76">
        <f>AH284+AH285+AH286+AH287+AH288+AH289+AH290+AH291+AH292+AH293</f>
        <v>0</v>
      </c>
      <c r="BA48" s="76">
        <f>AJ284+AJ285+AJ286+AJ287+AJ288+AJ289+AJ290+AJ291+AJ292+AJ293</f>
        <v>1</v>
      </c>
    </row>
    <row r="49" spans="1:56" x14ac:dyDescent="0.25">
      <c r="A49" s="366"/>
      <c r="B49" s="369"/>
      <c r="C49" s="122" t="s">
        <v>61</v>
      </c>
      <c r="D49" s="126"/>
      <c r="E49" s="123"/>
      <c r="F49" s="123"/>
      <c r="G49" s="123"/>
      <c r="H49" s="123"/>
      <c r="I49" s="123"/>
      <c r="J49" s="126"/>
      <c r="K49" s="126"/>
      <c r="L49" s="126"/>
      <c r="M49" s="126"/>
      <c r="N49" s="126"/>
      <c r="O49" s="126"/>
      <c r="P49" s="125">
        <f t="shared" si="0"/>
        <v>0</v>
      </c>
      <c r="Q49" s="126"/>
      <c r="R49" s="126"/>
      <c r="S49" s="126"/>
      <c r="T49" s="126"/>
      <c r="U49" s="126"/>
      <c r="V49" s="126"/>
      <c r="W49" s="126"/>
      <c r="X49" s="125">
        <f t="shared" si="8"/>
        <v>0</v>
      </c>
      <c r="Y49" s="126"/>
      <c r="Z49" s="123"/>
      <c r="AA49" s="123"/>
      <c r="AB49" s="123"/>
      <c r="AC49" s="123"/>
      <c r="AD49" s="125">
        <f t="shared" si="9"/>
        <v>0</v>
      </c>
      <c r="AE49" s="123"/>
      <c r="AF49" s="123"/>
      <c r="AG49" s="123"/>
      <c r="AH49" s="123"/>
      <c r="AI49" s="123"/>
      <c r="AJ49" s="123"/>
      <c r="AK49" s="123"/>
      <c r="AL49" s="123"/>
      <c r="AM49" s="125">
        <f t="shared" si="1"/>
        <v>0</v>
      </c>
      <c r="AN49" s="128"/>
      <c r="AP49" s="144" t="s">
        <v>15</v>
      </c>
      <c r="AQ49" s="148">
        <f>SUM(AQ25:AQ48)</f>
        <v>9</v>
      </c>
      <c r="AR49" s="148">
        <f t="shared" ref="AR49:BA49" si="15">SUM(AR25:AR48)</f>
        <v>60</v>
      </c>
      <c r="AS49" s="148">
        <f t="shared" si="15"/>
        <v>3</v>
      </c>
      <c r="AT49" s="148">
        <f t="shared" si="15"/>
        <v>13</v>
      </c>
      <c r="AU49" s="148">
        <f t="shared" si="15"/>
        <v>0</v>
      </c>
      <c r="AV49" s="148">
        <f t="shared" si="15"/>
        <v>6306.5</v>
      </c>
      <c r="AW49" s="148">
        <f t="shared" si="15"/>
        <v>28146.98</v>
      </c>
      <c r="AX49" s="148">
        <f t="shared" si="15"/>
        <v>1001</v>
      </c>
      <c r="AY49" s="148">
        <f t="shared" si="15"/>
        <v>16297</v>
      </c>
      <c r="AZ49" s="148"/>
      <c r="BA49" s="148">
        <f t="shared" si="15"/>
        <v>36</v>
      </c>
    </row>
    <row r="50" spans="1:56" x14ac:dyDescent="0.25">
      <c r="A50" s="366"/>
      <c r="B50" s="369"/>
      <c r="C50" s="122" t="s">
        <v>62</v>
      </c>
      <c r="D50" s="129">
        <v>2</v>
      </c>
      <c r="E50" s="123"/>
      <c r="F50" s="123"/>
      <c r="G50" s="123"/>
      <c r="H50" s="129">
        <v>1</v>
      </c>
      <c r="I50" s="123"/>
      <c r="J50" s="123"/>
      <c r="K50" s="129">
        <v>8</v>
      </c>
      <c r="L50" s="129">
        <v>5</v>
      </c>
      <c r="M50" s="129">
        <v>3</v>
      </c>
      <c r="N50" s="129">
        <v>3</v>
      </c>
      <c r="O50" s="129">
        <v>7</v>
      </c>
      <c r="P50" s="125">
        <f t="shared" si="0"/>
        <v>29</v>
      </c>
      <c r="Q50" s="129">
        <f>3+3+19+12+8+6+16</f>
        <v>67</v>
      </c>
      <c r="R50" s="129">
        <v>1</v>
      </c>
      <c r="S50" s="123"/>
      <c r="T50" s="123"/>
      <c r="U50" s="123"/>
      <c r="V50" s="129">
        <f>7+25+11</f>
        <v>43</v>
      </c>
      <c r="W50" s="129">
        <v>1</v>
      </c>
      <c r="X50" s="125">
        <f t="shared" si="8"/>
        <v>45</v>
      </c>
      <c r="Y50" s="129">
        <f>4+3+19+12+8+6+16</f>
        <v>68</v>
      </c>
      <c r="Z50" s="123"/>
      <c r="AA50" s="123"/>
      <c r="AB50" s="123"/>
      <c r="AC50" s="123"/>
      <c r="AD50" s="125">
        <f t="shared" si="9"/>
        <v>68</v>
      </c>
      <c r="AE50" s="123"/>
      <c r="AF50" s="123"/>
      <c r="AG50" s="123"/>
      <c r="AH50" s="123"/>
      <c r="AI50" s="123"/>
      <c r="AJ50" s="123"/>
      <c r="AK50" s="123"/>
      <c r="AL50" s="123"/>
      <c r="AM50" s="125">
        <f t="shared" si="1"/>
        <v>113</v>
      </c>
      <c r="AN50" s="138">
        <f>500000000+106500000+1645000000+850000000+930000000+950000000+1685000000</f>
        <v>6666500000</v>
      </c>
    </row>
    <row r="51" spans="1:56" ht="15.75" thickBot="1" x14ac:dyDescent="0.3">
      <c r="A51" s="366"/>
      <c r="B51" s="369"/>
      <c r="C51" s="122" t="s">
        <v>63</v>
      </c>
      <c r="D51" s="129">
        <v>1</v>
      </c>
      <c r="E51" s="123"/>
      <c r="F51" s="123"/>
      <c r="G51" s="123"/>
      <c r="H51" s="123"/>
      <c r="I51" s="123"/>
      <c r="J51" s="123"/>
      <c r="K51" s="123"/>
      <c r="L51" s="129">
        <v>1</v>
      </c>
      <c r="M51" s="123"/>
      <c r="N51" s="129">
        <v>1</v>
      </c>
      <c r="O51" s="129">
        <v>1</v>
      </c>
      <c r="P51" s="125">
        <f t="shared" si="0"/>
        <v>4</v>
      </c>
      <c r="Q51" s="129">
        <f>1+1</f>
        <v>2</v>
      </c>
      <c r="R51" s="123"/>
      <c r="S51" s="123"/>
      <c r="T51" s="123"/>
      <c r="U51" s="123"/>
      <c r="V51" s="129">
        <v>3</v>
      </c>
      <c r="W51" s="123"/>
      <c r="X51" s="125">
        <f t="shared" si="8"/>
        <v>3</v>
      </c>
      <c r="Y51" s="129">
        <f>2+1+1+1</f>
        <v>5</v>
      </c>
      <c r="Z51" s="123"/>
      <c r="AA51" s="123"/>
      <c r="AB51" s="123"/>
      <c r="AC51" s="123"/>
      <c r="AD51" s="125">
        <f t="shared" si="9"/>
        <v>5</v>
      </c>
      <c r="AE51" s="123"/>
      <c r="AF51" s="123"/>
      <c r="AG51" s="123"/>
      <c r="AH51" s="123"/>
      <c r="AI51" s="123"/>
      <c r="AJ51" s="123"/>
      <c r="AK51" s="123"/>
      <c r="AL51" s="123"/>
      <c r="AM51" s="125">
        <f t="shared" si="1"/>
        <v>8</v>
      </c>
      <c r="AN51" s="138">
        <f>25000000+35000000+40000000</f>
        <v>100000000</v>
      </c>
    </row>
    <row r="52" spans="1:56" ht="15.95" customHeight="1" thickTop="1" x14ac:dyDescent="0.25">
      <c r="A52" s="366"/>
      <c r="B52" s="369"/>
      <c r="C52" s="122" t="s">
        <v>64</v>
      </c>
      <c r="D52" s="123"/>
      <c r="E52" s="129">
        <v>2</v>
      </c>
      <c r="F52" s="123"/>
      <c r="G52" s="123"/>
      <c r="H52" s="123"/>
      <c r="I52" s="129">
        <v>1</v>
      </c>
      <c r="J52" s="123"/>
      <c r="K52" s="123"/>
      <c r="L52" s="123"/>
      <c r="M52" s="129">
        <v>1</v>
      </c>
      <c r="N52" s="123"/>
      <c r="O52" s="123"/>
      <c r="P52" s="125">
        <f t="shared" si="0"/>
        <v>4</v>
      </c>
      <c r="Q52" s="129">
        <f>6+1</f>
        <v>7</v>
      </c>
      <c r="R52" s="126"/>
      <c r="S52" s="126"/>
      <c r="T52" s="126"/>
      <c r="U52" s="126"/>
      <c r="V52" s="129">
        <v>1</v>
      </c>
      <c r="W52" s="129">
        <f>6+4</f>
        <v>10</v>
      </c>
      <c r="X52" s="125">
        <f t="shared" si="8"/>
        <v>11</v>
      </c>
      <c r="Y52" s="129">
        <f>6+1+1</f>
        <v>8</v>
      </c>
      <c r="Z52" s="123"/>
      <c r="AA52" s="123"/>
      <c r="AB52" s="123"/>
      <c r="AC52" s="123"/>
      <c r="AD52" s="125">
        <f t="shared" si="9"/>
        <v>8</v>
      </c>
      <c r="AE52" s="123"/>
      <c r="AF52" s="123"/>
      <c r="AG52" s="123"/>
      <c r="AH52" s="123"/>
      <c r="AI52" s="123"/>
      <c r="AJ52" s="123"/>
      <c r="AK52" s="123"/>
      <c r="AL52" s="123"/>
      <c r="AM52" s="125">
        <f t="shared" si="1"/>
        <v>19</v>
      </c>
      <c r="AN52" s="138">
        <f>5000000+50000000</f>
        <v>55000000</v>
      </c>
      <c r="AP52" s="149" t="s">
        <v>182</v>
      </c>
      <c r="AQ52" s="91" t="s">
        <v>114</v>
      </c>
      <c r="AR52" s="91" t="s">
        <v>138</v>
      </c>
      <c r="AS52" s="90" t="s">
        <v>131</v>
      </c>
      <c r="AT52" s="90" t="s">
        <v>183</v>
      </c>
      <c r="AU52" s="93" t="s">
        <v>141</v>
      </c>
      <c r="AV52" s="93" t="s">
        <v>142</v>
      </c>
      <c r="AW52" s="91" t="s">
        <v>184</v>
      </c>
      <c r="AX52" s="91" t="s">
        <v>123</v>
      </c>
      <c r="AY52" s="91" t="s">
        <v>185</v>
      </c>
    </row>
    <row r="53" spans="1:56" ht="15" customHeight="1" x14ac:dyDescent="0.25">
      <c r="A53" s="366"/>
      <c r="B53" s="369"/>
      <c r="C53" s="140" t="s">
        <v>65</v>
      </c>
      <c r="D53" s="123"/>
      <c r="E53" s="123"/>
      <c r="F53" s="123"/>
      <c r="G53" s="123"/>
      <c r="H53" s="126"/>
      <c r="I53" s="123"/>
      <c r="J53" s="123"/>
      <c r="K53" s="123"/>
      <c r="L53" s="123"/>
      <c r="M53" s="123"/>
      <c r="N53" s="123"/>
      <c r="O53" s="123"/>
      <c r="P53" s="125">
        <f t="shared" si="0"/>
        <v>0</v>
      </c>
      <c r="Q53" s="126"/>
      <c r="R53" s="126"/>
      <c r="S53" s="126"/>
      <c r="T53" s="126"/>
      <c r="U53" s="126"/>
      <c r="V53" s="126"/>
      <c r="W53" s="126"/>
      <c r="X53" s="125">
        <f t="shared" si="8"/>
        <v>0</v>
      </c>
      <c r="Y53" s="123"/>
      <c r="Z53" s="123"/>
      <c r="AA53" s="123"/>
      <c r="AB53" s="123"/>
      <c r="AC53" s="123"/>
      <c r="AD53" s="125">
        <f t="shared" si="9"/>
        <v>0</v>
      </c>
      <c r="AE53" s="123"/>
      <c r="AF53" s="123"/>
      <c r="AG53" s="123"/>
      <c r="AH53" s="123"/>
      <c r="AI53" s="123"/>
      <c r="AJ53" s="123"/>
      <c r="AK53" s="123"/>
      <c r="AL53" s="123"/>
      <c r="AM53" s="125">
        <f t="shared" si="1"/>
        <v>0</v>
      </c>
      <c r="AN53" s="128"/>
      <c r="AP53" s="7" t="s">
        <v>157</v>
      </c>
      <c r="AQ53" s="6">
        <f>Q8+Q9+Q10+Q11+Q12+Q13+Q14+Q15+Q16+Q17</f>
        <v>51</v>
      </c>
      <c r="AR53" s="6" t="e">
        <f>R8+R9+R10+R11+R12+R13+R14+R15+R16+R17+R18+#REF!+R19+#REF!</f>
        <v>#REF!</v>
      </c>
      <c r="AS53" s="6">
        <f>S8+S9+S10+S11+S12+S13+S14+S15+S16+S17</f>
        <v>2</v>
      </c>
      <c r="AT53" s="6">
        <f>T8+T9+T10+T11+T12+T13+T14+T15+T16+T17</f>
        <v>0</v>
      </c>
      <c r="AU53" s="6">
        <f>U8+U9+U10+U11+U12+U13+U14+U15+U16+U17</f>
        <v>0</v>
      </c>
      <c r="AV53" s="6">
        <f>V8+V9+V10+V11+V12+V13+V14+V15+V16+V17</f>
        <v>18</v>
      </c>
      <c r="AW53" s="6">
        <f>W8+W9+W10+W11+W12+W13+W14+W15+W16+W17</f>
        <v>9</v>
      </c>
      <c r="AX53" s="76">
        <f>AI8+AI9+AI10+AI11+AI12+AI13+AI14+AI15+AI16+AI17</f>
        <v>0</v>
      </c>
      <c r="AY53" s="6"/>
    </row>
    <row r="54" spans="1:56" ht="15" customHeight="1" x14ac:dyDescent="0.25">
      <c r="A54" s="366"/>
      <c r="B54" s="369"/>
      <c r="C54" s="147" t="s">
        <v>66</v>
      </c>
      <c r="D54" s="123"/>
      <c r="E54" s="123"/>
      <c r="F54" s="123"/>
      <c r="G54" s="123"/>
      <c r="H54" s="126"/>
      <c r="I54" s="123"/>
      <c r="J54" s="123"/>
      <c r="K54" s="123"/>
      <c r="L54" s="129">
        <v>1</v>
      </c>
      <c r="M54" s="123"/>
      <c r="N54" s="123"/>
      <c r="O54" s="123"/>
      <c r="P54" s="125">
        <f t="shared" si="0"/>
        <v>1</v>
      </c>
      <c r="Q54" s="126"/>
      <c r="R54" s="126"/>
      <c r="S54" s="126"/>
      <c r="T54" s="126"/>
      <c r="U54" s="126"/>
      <c r="V54" s="126"/>
      <c r="W54" s="126"/>
      <c r="X54" s="125">
        <f t="shared" si="8"/>
        <v>0</v>
      </c>
      <c r="Y54" s="123"/>
      <c r="Z54" s="123"/>
      <c r="AA54" s="123"/>
      <c r="AB54" s="123"/>
      <c r="AC54" s="123"/>
      <c r="AD54" s="125">
        <f t="shared" si="9"/>
        <v>0</v>
      </c>
      <c r="AE54" s="123"/>
      <c r="AF54" s="123"/>
      <c r="AG54" s="123"/>
      <c r="AH54" s="123"/>
      <c r="AI54" s="123"/>
      <c r="AJ54" s="123"/>
      <c r="AK54" s="123"/>
      <c r="AL54" s="123"/>
      <c r="AM54" s="125">
        <f t="shared" si="1"/>
        <v>0</v>
      </c>
      <c r="AN54" s="128"/>
      <c r="AP54" s="150" t="s">
        <v>158</v>
      </c>
      <c r="AQ54" s="6">
        <f>Q20+Q21+Q22+Q23+Q24+Q25+Q26+Q27+Q28+Q29</f>
        <v>186</v>
      </c>
      <c r="AR54" s="6" t="e">
        <f>R20+R21+R22+R23+R24+R25+R26+R27+R28+R29+R30+#REF!+R31+#REF!</f>
        <v>#REF!</v>
      </c>
      <c r="AS54" s="6">
        <f>S20+S21+S22+S23+S24+S25+S26+S27+S28+S29</f>
        <v>3</v>
      </c>
      <c r="AT54" s="6">
        <f>T20+T21+T22+T23+T24+T25+T26+T27+T28+T29</f>
        <v>0</v>
      </c>
      <c r="AU54" s="6">
        <f>U20+U21+U22+U23+U24+U25+U26+U27+U28+U29</f>
        <v>0</v>
      </c>
      <c r="AV54" s="6">
        <f>V20+V21+V22+V23+V24+V25+V26+V27+V28+V29</f>
        <v>33</v>
      </c>
      <c r="AW54" s="6">
        <f>W20+W21+W22+W23+W24+W25+W26+W27+W28+W29</f>
        <v>55</v>
      </c>
      <c r="AX54" s="76">
        <f>AI20+AI21+AI22+AI23+AI24+AI25+AI26+AI27+AI28+AI29</f>
        <v>0</v>
      </c>
      <c r="AY54" s="6"/>
    </row>
    <row r="55" spans="1:56" s="218" customFormat="1" x14ac:dyDescent="0.25">
      <c r="A55" s="367"/>
      <c r="B55" s="370"/>
      <c r="C55" s="221" t="s">
        <v>67</v>
      </c>
      <c r="D55" s="214"/>
      <c r="E55" s="214"/>
      <c r="F55" s="214"/>
      <c r="G55" s="214"/>
      <c r="H55" s="222"/>
      <c r="I55" s="214"/>
      <c r="J55" s="214"/>
      <c r="K55" s="214"/>
      <c r="L55" s="223">
        <v>7</v>
      </c>
      <c r="M55" s="214"/>
      <c r="N55" s="214"/>
      <c r="O55" s="214"/>
      <c r="P55" s="215">
        <f t="shared" si="0"/>
        <v>7</v>
      </c>
      <c r="Q55" s="223">
        <f>359+128</f>
        <v>487</v>
      </c>
      <c r="R55" s="222"/>
      <c r="S55" s="222"/>
      <c r="T55" s="222"/>
      <c r="U55" s="222"/>
      <c r="V55" s="223">
        <v>1400</v>
      </c>
      <c r="W55" s="222"/>
      <c r="X55" s="215">
        <f t="shared" si="8"/>
        <v>1400</v>
      </c>
      <c r="Y55" s="214"/>
      <c r="Z55" s="214"/>
      <c r="AA55" s="214"/>
      <c r="AB55" s="214"/>
      <c r="AC55" s="214"/>
      <c r="AD55" s="215">
        <f t="shared" si="9"/>
        <v>0</v>
      </c>
      <c r="AE55" s="214"/>
      <c r="AF55" s="214"/>
      <c r="AG55" s="214"/>
      <c r="AH55" s="214"/>
      <c r="AI55" s="214"/>
      <c r="AJ55" s="214"/>
      <c r="AK55" s="214"/>
      <c r="AL55" s="214"/>
      <c r="AM55" s="215">
        <f t="shared" si="1"/>
        <v>1400</v>
      </c>
      <c r="AN55" s="216"/>
      <c r="AO55" s="217"/>
      <c r="AP55" s="6" t="s">
        <v>159</v>
      </c>
      <c r="AQ55" s="6">
        <f>Q32+Q33+Q34+Q35+Q36+Q37+Q38+Q39+Q40+Q41</f>
        <v>15</v>
      </c>
      <c r="AR55" s="6" t="e">
        <f>R32+R33+R34+R35+R36+R37+R38+R39+R40+R41+R42+#REF!+R43+#REF!</f>
        <v>#REF!</v>
      </c>
      <c r="AS55" s="6">
        <f>S32+S33+S34+S35+S36+S37+S38+S39+S40+S41</f>
        <v>0</v>
      </c>
      <c r="AT55" s="6">
        <f>T32+T33+T34+T35+T36+T37+T38+T39+T40+T41</f>
        <v>0</v>
      </c>
      <c r="AU55" s="6">
        <f>U32+U33+U34+U35+U36+U37+U38+U39+U40+U41</f>
        <v>0</v>
      </c>
      <c r="AV55" s="6">
        <f>V32+V33+V34+V35+V36+V37+V38+V39+V40+V41</f>
        <v>2</v>
      </c>
      <c r="AW55" s="6">
        <f>W32+W33+W34+W35+W36+W37+W38+W39+W40+W41</f>
        <v>0</v>
      </c>
      <c r="AX55" s="76">
        <f>AI32+AI33+AI34+AI35+AI36+AI37+AI38+AI39+AI40+AI41</f>
        <v>0</v>
      </c>
      <c r="AY55" s="6"/>
      <c r="BD55" s="224"/>
    </row>
    <row r="56" spans="1:56" x14ac:dyDescent="0.25">
      <c r="A56" s="365">
        <v>5</v>
      </c>
      <c r="B56" s="368" t="s">
        <v>21</v>
      </c>
      <c r="C56" s="143" t="s">
        <v>56</v>
      </c>
      <c r="D56" s="176"/>
      <c r="E56" s="207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209">
        <f t="shared" si="0"/>
        <v>0</v>
      </c>
      <c r="Q56" s="207"/>
      <c r="R56" s="207"/>
      <c r="S56" s="207"/>
      <c r="T56" s="207"/>
      <c r="U56" s="207"/>
      <c r="V56" s="207"/>
      <c r="W56" s="207"/>
      <c r="X56" s="209">
        <f t="shared" si="8"/>
        <v>0</v>
      </c>
      <c r="Y56" s="176"/>
      <c r="Z56" s="176"/>
      <c r="AA56" s="176"/>
      <c r="AB56" s="176"/>
      <c r="AC56" s="176"/>
      <c r="AD56" s="209">
        <f t="shared" si="9"/>
        <v>0</v>
      </c>
      <c r="AE56" s="176"/>
      <c r="AF56" s="176"/>
      <c r="AG56" s="176"/>
      <c r="AH56" s="176"/>
      <c r="AI56" s="176"/>
      <c r="AJ56" s="176"/>
      <c r="AK56" s="176"/>
      <c r="AL56" s="176"/>
      <c r="AM56" s="209">
        <f t="shared" si="1"/>
        <v>0</v>
      </c>
      <c r="AN56" s="219"/>
      <c r="AP56" s="225" t="s">
        <v>160</v>
      </c>
      <c r="AQ56" s="226">
        <f>Q44+Q45+Q46+Q47+Q48+Q49+Q50+Q51+Q52+Q53</f>
        <v>76</v>
      </c>
      <c r="AR56" s="226" t="e">
        <f>R44+R45+R46+R47+R48+R49+R50+R51+R52+R53+R54+#REF!+R55+#REF!</f>
        <v>#REF!</v>
      </c>
      <c r="AS56" s="226">
        <f>S44+S45+S46+S47+S48+S49+S50+S51+S52+S53</f>
        <v>0</v>
      </c>
      <c r="AT56" s="226">
        <f>T44+T45+T46+T47+T48+T49+T50+T51+T52+T53</f>
        <v>0</v>
      </c>
      <c r="AU56" s="226">
        <f>U44+U45+U46+U47+U48+U49+U50+U51+U52+U53</f>
        <v>0</v>
      </c>
      <c r="AV56" s="226">
        <f>V44+V45+V46+V47+V48+V49+V50+V51+V52+V53</f>
        <v>47</v>
      </c>
      <c r="AW56" s="226">
        <f>W44+W45+W46+W47+W48+W49+W50+W51+W52+W53</f>
        <v>11</v>
      </c>
      <c r="AX56" s="220">
        <f>AI44+AI45+AI46+AI47+AI48+AI49+AI50+AI51+AI52+AI53</f>
        <v>0</v>
      </c>
      <c r="AY56" s="226"/>
    </row>
    <row r="57" spans="1:56" x14ac:dyDescent="0.25">
      <c r="A57" s="366"/>
      <c r="B57" s="369"/>
      <c r="C57" s="122" t="s">
        <v>57</v>
      </c>
      <c r="D57" s="123"/>
      <c r="E57" s="126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5">
        <f t="shared" si="0"/>
        <v>0</v>
      </c>
      <c r="Q57" s="126"/>
      <c r="R57" s="126"/>
      <c r="S57" s="126"/>
      <c r="T57" s="126"/>
      <c r="U57" s="126"/>
      <c r="V57" s="126"/>
      <c r="W57" s="126"/>
      <c r="X57" s="125">
        <f t="shared" si="8"/>
        <v>0</v>
      </c>
      <c r="Y57" s="123"/>
      <c r="Z57" s="123"/>
      <c r="AA57" s="123"/>
      <c r="AB57" s="123"/>
      <c r="AC57" s="123"/>
      <c r="AD57" s="125">
        <f t="shared" si="9"/>
        <v>0</v>
      </c>
      <c r="AE57" s="123"/>
      <c r="AF57" s="123">
        <v>0</v>
      </c>
      <c r="AG57" s="123"/>
      <c r="AH57" s="123"/>
      <c r="AI57" s="123"/>
      <c r="AJ57" s="123"/>
      <c r="AK57" s="123"/>
      <c r="AL57" s="123"/>
      <c r="AM57" s="125">
        <f t="shared" si="1"/>
        <v>0</v>
      </c>
      <c r="AN57" s="128"/>
      <c r="AP57" s="7" t="s">
        <v>161</v>
      </c>
      <c r="AQ57" s="6">
        <f>Q56+Q57+Q58+Q59+Q60+Q61+Q62+Q63+Q64+Q65</f>
        <v>214</v>
      </c>
      <c r="AR57" s="6" t="e">
        <f>R12+R13+R14+R15+R16+R17+R18+#REF!+R19+#REF!+R20+R21+R22+R23</f>
        <v>#REF!</v>
      </c>
      <c r="AS57" s="6">
        <f>S56+S57+S58+S59+S60+S61+S62+S63+S64+S65</f>
        <v>0</v>
      </c>
      <c r="AT57" s="6">
        <f>T56+T57+T58+T59+T60+T61+T62+T63+T64+T65</f>
        <v>0</v>
      </c>
      <c r="AU57" s="6">
        <f>U56+U57+U58+U59+U60+U61+U62+U63+U64+U65</f>
        <v>0</v>
      </c>
      <c r="AV57" s="6">
        <f>V56+V57+V58+V59+V60+V61+V62+V63+V64+V65</f>
        <v>25</v>
      </c>
      <c r="AW57" s="6">
        <f>W56+W57+W58+W59+W60+W61+W62+W63+W64+W65</f>
        <v>3</v>
      </c>
      <c r="AX57" s="76">
        <f>AI56+AI57+AI58+AI59+AI60+AI61+AI62+AI63+AI64+AI65</f>
        <v>0</v>
      </c>
      <c r="AY57" s="6"/>
    </row>
    <row r="58" spans="1:56" x14ac:dyDescent="0.25">
      <c r="A58" s="366"/>
      <c r="B58" s="369"/>
      <c r="C58" s="122" t="s">
        <v>58</v>
      </c>
      <c r="D58" s="123"/>
      <c r="E58" s="126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5">
        <f t="shared" si="0"/>
        <v>0</v>
      </c>
      <c r="Q58" s="126"/>
      <c r="R58" s="126"/>
      <c r="S58" s="126"/>
      <c r="T58" s="126"/>
      <c r="U58" s="126"/>
      <c r="V58" s="126"/>
      <c r="W58" s="126"/>
      <c r="X58" s="125">
        <f t="shared" si="8"/>
        <v>0</v>
      </c>
      <c r="Y58" s="123"/>
      <c r="Z58" s="123"/>
      <c r="AA58" s="123"/>
      <c r="AB58" s="123"/>
      <c r="AC58" s="123"/>
      <c r="AD58" s="125">
        <f t="shared" si="9"/>
        <v>0</v>
      </c>
      <c r="AE58" s="123"/>
      <c r="AF58" s="123"/>
      <c r="AG58" s="123"/>
      <c r="AH58" s="123"/>
      <c r="AI58" s="123"/>
      <c r="AJ58" s="123"/>
      <c r="AK58" s="123"/>
      <c r="AL58" s="123"/>
      <c r="AM58" s="125">
        <f t="shared" si="1"/>
        <v>0</v>
      </c>
      <c r="AN58" s="128"/>
      <c r="AP58" s="151" t="s">
        <v>162</v>
      </c>
      <c r="AQ58" s="6">
        <f>Q68+Q69+Q70+Q71+Q72+Q73+Q74+Q75+Q76+Q77</f>
        <v>494</v>
      </c>
      <c r="AR58" s="6" t="e">
        <f>R13+R14+R15+R16+R17+R18+#REF!+R19+#REF!+R20+R21+R22+R23+R24</f>
        <v>#REF!</v>
      </c>
      <c r="AS58" s="6">
        <f>S68+S69+S70+S71+S72+S73+S74+S75+S76+S77</f>
        <v>0</v>
      </c>
      <c r="AT58" s="6">
        <f>T68+T69+T70+T71+T72+T73+T74+T75+T76+T77</f>
        <v>0</v>
      </c>
      <c r="AU58" s="6">
        <f>U68+U69+U70+U71+U72+U73+U74+U75+U76+U77</f>
        <v>0</v>
      </c>
      <c r="AV58" s="6">
        <f>V68+V69+V70+V71+V72+V73+V74+V75+V76+V77</f>
        <v>36</v>
      </c>
      <c r="AW58" s="6">
        <f>W68+W69+W70+W71+W72+W73+W74+W75+W76+W77</f>
        <v>63</v>
      </c>
      <c r="AX58" s="76">
        <f>AI68+AI69+AI70+AI71+AI72+AI73+AI74+AI75+AI76+AI77</f>
        <v>0</v>
      </c>
      <c r="AY58" s="6"/>
    </row>
    <row r="59" spans="1:56" x14ac:dyDescent="0.25">
      <c r="A59" s="366"/>
      <c r="B59" s="369"/>
      <c r="C59" s="122" t="s">
        <v>59</v>
      </c>
      <c r="D59" s="123"/>
      <c r="E59" s="126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5">
        <f t="shared" si="0"/>
        <v>0</v>
      </c>
      <c r="Q59" s="126"/>
      <c r="R59" s="126"/>
      <c r="S59" s="126"/>
      <c r="T59" s="126"/>
      <c r="U59" s="126"/>
      <c r="V59" s="126"/>
      <c r="W59" s="126"/>
      <c r="X59" s="125">
        <f t="shared" si="8"/>
        <v>0</v>
      </c>
      <c r="Y59" s="123"/>
      <c r="Z59" s="123"/>
      <c r="AA59" s="123"/>
      <c r="AB59" s="123"/>
      <c r="AC59" s="123"/>
      <c r="AD59" s="125">
        <f t="shared" si="9"/>
        <v>0</v>
      </c>
      <c r="AE59" s="123"/>
      <c r="AF59" s="123"/>
      <c r="AG59" s="123"/>
      <c r="AH59" s="123"/>
      <c r="AI59" s="123"/>
      <c r="AJ59" s="123"/>
      <c r="AK59" s="123"/>
      <c r="AL59" s="123"/>
      <c r="AM59" s="125">
        <f t="shared" si="1"/>
        <v>0</v>
      </c>
      <c r="AN59" s="128"/>
      <c r="AP59" s="6" t="s">
        <v>163</v>
      </c>
      <c r="AQ59" s="6">
        <f>Q80+Q81+Q82+Q83+Q84+Q85+Q86+Q87+Q88+Q89</f>
        <v>743</v>
      </c>
      <c r="AR59" s="6" t="e">
        <f>R14+R15+R16+R17+R18+#REF!+R19+#REF!+R20+R21+R22+R23+R24+R25</f>
        <v>#REF!</v>
      </c>
      <c r="AS59" s="6">
        <f>S80+S81+S82+S83+S84+S85+S86+S87+S88+S89</f>
        <v>1</v>
      </c>
      <c r="AT59" s="6">
        <f>T80+T81+T82+T83+T84+T85+T86+T87+T88+T89</f>
        <v>0</v>
      </c>
      <c r="AU59" s="6">
        <f>U80+U81+U82+U83+U84+U85+U86+U87+U88+U89</f>
        <v>0</v>
      </c>
      <c r="AV59" s="6">
        <f>V80+V81+V82+V83+V84+V85+V86+V87+V88+V89</f>
        <v>2499</v>
      </c>
      <c r="AW59" s="6">
        <f>W80+W81+W82+W83+W84+W85+W86+W87+W88+W89</f>
        <v>0</v>
      </c>
      <c r="AX59" s="76">
        <f>AI80+AI81+AI82+AI83+AI84+AI85+AI86+AI87+AI88+AI89</f>
        <v>0</v>
      </c>
      <c r="AY59" s="6"/>
    </row>
    <row r="60" spans="1:56" x14ac:dyDescent="0.25">
      <c r="A60" s="366"/>
      <c r="B60" s="369"/>
      <c r="C60" s="122" t="s">
        <v>60</v>
      </c>
      <c r="D60" s="123"/>
      <c r="E60" s="126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5">
        <f t="shared" si="0"/>
        <v>0</v>
      </c>
      <c r="Q60" s="126"/>
      <c r="R60" s="126"/>
      <c r="S60" s="126"/>
      <c r="T60" s="126"/>
      <c r="U60" s="126"/>
      <c r="V60" s="126"/>
      <c r="W60" s="126"/>
      <c r="X60" s="125">
        <f t="shared" si="8"/>
        <v>0</v>
      </c>
      <c r="Y60" s="123"/>
      <c r="Z60" s="123"/>
      <c r="AA60" s="123"/>
      <c r="AB60" s="123"/>
      <c r="AC60" s="123"/>
      <c r="AD60" s="125">
        <f t="shared" si="9"/>
        <v>0</v>
      </c>
      <c r="AE60" s="123"/>
      <c r="AF60" s="123"/>
      <c r="AG60" s="123"/>
      <c r="AH60" s="123"/>
      <c r="AI60" s="123"/>
      <c r="AJ60" s="123"/>
      <c r="AK60" s="123"/>
      <c r="AL60" s="123"/>
      <c r="AM60" s="125">
        <f t="shared" si="1"/>
        <v>0</v>
      </c>
      <c r="AN60" s="128"/>
      <c r="AP60" s="151" t="s">
        <v>164</v>
      </c>
      <c r="AQ60" s="6">
        <f>Q92+Q93+Q94+Q95+Q96+Q97+Q98+Q99+Q100+Q101</f>
        <v>106</v>
      </c>
      <c r="AR60" s="6" t="e">
        <f>R15+R16+R17+R18+#REF!+R19+#REF!+R20+R21+R22+R23+R24+R25+R26</f>
        <v>#REF!</v>
      </c>
      <c r="AS60" s="6">
        <f>S92+S93+S94+S95+S96+S97+S98+S99+S100+S101</f>
        <v>0</v>
      </c>
      <c r="AT60" s="6">
        <f>T92+T93+T94+T95+T96+T97+T98+T99+T100+T101</f>
        <v>0</v>
      </c>
      <c r="AU60" s="6">
        <f>U92+U93+U94+U95+U96+U97+U98+U99+U100+U101</f>
        <v>0</v>
      </c>
      <c r="AV60" s="6">
        <f>V92+V93+V94+V95+V96+V97+V98+V99+V100+V101</f>
        <v>17</v>
      </c>
      <c r="AW60" s="6">
        <f>W92+W93+W94+W95+W96+W97+W98+W99+W100+W101</f>
        <v>0</v>
      </c>
      <c r="AX60" s="76">
        <f>AI92+AI93+AI94+AI95+AI96+AI97+AI98+AI99+AI100+AI101</f>
        <v>0</v>
      </c>
      <c r="AY60" s="6"/>
    </row>
    <row r="61" spans="1:56" x14ac:dyDescent="0.25">
      <c r="A61" s="366"/>
      <c r="B61" s="369"/>
      <c r="C61" s="122" t="s">
        <v>61</v>
      </c>
      <c r="D61" s="123"/>
      <c r="E61" s="126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5">
        <f t="shared" si="0"/>
        <v>0</v>
      </c>
      <c r="Q61" s="126"/>
      <c r="R61" s="126"/>
      <c r="S61" s="126"/>
      <c r="T61" s="126"/>
      <c r="U61" s="126"/>
      <c r="V61" s="126"/>
      <c r="W61" s="126"/>
      <c r="X61" s="125">
        <f t="shared" si="8"/>
        <v>0</v>
      </c>
      <c r="Y61" s="123"/>
      <c r="Z61" s="123"/>
      <c r="AA61" s="123"/>
      <c r="AB61" s="123"/>
      <c r="AC61" s="123"/>
      <c r="AD61" s="125">
        <f t="shared" si="9"/>
        <v>0</v>
      </c>
      <c r="AE61" s="123"/>
      <c r="AF61" s="123"/>
      <c r="AG61" s="123"/>
      <c r="AH61" s="123"/>
      <c r="AI61" s="123"/>
      <c r="AJ61" s="123"/>
      <c r="AK61" s="123"/>
      <c r="AL61" s="123"/>
      <c r="AM61" s="125">
        <f t="shared" si="1"/>
        <v>0</v>
      </c>
      <c r="AN61" s="128"/>
      <c r="AP61" s="7" t="s">
        <v>165</v>
      </c>
      <c r="AQ61" s="6">
        <f>Q104+Q105+Q106+Q107+Q108+Q109+Q110+Q111+Q112+Q113</f>
        <v>33</v>
      </c>
      <c r="AR61" s="6" t="e">
        <f>R16+R17+R18+#REF!+R19+#REF!+R20+R21+R22+R23+R24+R25+R26+R27</f>
        <v>#REF!</v>
      </c>
      <c r="AS61" s="6">
        <f>S104+S105+S106+S107+S108+S109+S110+S111+S112+S113</f>
        <v>5</v>
      </c>
      <c r="AT61" s="6">
        <f>T104+T105+T106+T107+T108+T109+T110+T111+T112+T113</f>
        <v>0</v>
      </c>
      <c r="AU61" s="6">
        <f>U104+U105+U106+U107+U108+U109+U110+U111+U112+U113</f>
        <v>0</v>
      </c>
      <c r="AV61" s="6">
        <f>V104+V105+V106+V107+V108+V109+V110+V111+V112+V113</f>
        <v>80</v>
      </c>
      <c r="AW61" s="6">
        <f>W104+W105+W106+W107+W108+W109+W110+W111+W112+W113</f>
        <v>0</v>
      </c>
      <c r="AX61" s="76">
        <f>AI104+AI105+AI106+AI107+AI108+AI109+AI110+AI111+AI112+AI113</f>
        <v>0</v>
      </c>
      <c r="AY61" s="6"/>
    </row>
    <row r="62" spans="1:56" x14ac:dyDescent="0.25">
      <c r="A62" s="366"/>
      <c r="B62" s="369"/>
      <c r="C62" s="122" t="s">
        <v>62</v>
      </c>
      <c r="D62" s="123"/>
      <c r="E62" s="126"/>
      <c r="F62" s="129">
        <v>1</v>
      </c>
      <c r="G62" s="129">
        <v>2</v>
      </c>
      <c r="H62" s="123"/>
      <c r="I62" s="123"/>
      <c r="J62" s="123"/>
      <c r="K62" s="123"/>
      <c r="L62" s="129">
        <v>5</v>
      </c>
      <c r="M62" s="129">
        <v>3</v>
      </c>
      <c r="N62" s="129">
        <v>1</v>
      </c>
      <c r="O62" s="123"/>
      <c r="P62" s="125">
        <f t="shared" si="0"/>
        <v>12</v>
      </c>
      <c r="Q62" s="129">
        <f>1+3+5+4+1</f>
        <v>14</v>
      </c>
      <c r="R62" s="126"/>
      <c r="S62" s="126"/>
      <c r="T62" s="126"/>
      <c r="U62" s="126"/>
      <c r="V62" s="126"/>
      <c r="W62" s="129">
        <v>3</v>
      </c>
      <c r="X62" s="125">
        <f t="shared" si="8"/>
        <v>3</v>
      </c>
      <c r="Y62" s="129">
        <f>1+3+4+4+1</f>
        <v>13</v>
      </c>
      <c r="Z62" s="123"/>
      <c r="AA62" s="123"/>
      <c r="AB62" s="123"/>
      <c r="AC62" s="123"/>
      <c r="AD62" s="125">
        <f t="shared" si="9"/>
        <v>13</v>
      </c>
      <c r="AE62" s="123"/>
      <c r="AF62" s="123"/>
      <c r="AG62" s="123"/>
      <c r="AH62" s="123"/>
      <c r="AI62" s="123"/>
      <c r="AJ62" s="123"/>
      <c r="AK62" s="129">
        <v>1</v>
      </c>
      <c r="AL62" s="123"/>
      <c r="AM62" s="125">
        <f t="shared" si="1"/>
        <v>16</v>
      </c>
      <c r="AN62" s="138">
        <f>10000000+24000000+1485000000+225000000</f>
        <v>1744000000</v>
      </c>
      <c r="AP62" s="151" t="s">
        <v>166</v>
      </c>
      <c r="AQ62" s="6">
        <f>Q116+Q117+Q118+Q119+Q120+Q121+Q122+Q123+Q124+Q125</f>
        <v>1583</v>
      </c>
      <c r="AR62" s="6" t="e">
        <f>R17+R18+#REF!+R19+#REF!+R20+R21+R22+R23+R24+R25+R26+R27+R28</f>
        <v>#REF!</v>
      </c>
      <c r="AS62" s="6">
        <f>S116+S117+S118+S119+S120+S121+S122+S123+S124+S125</f>
        <v>0</v>
      </c>
      <c r="AT62" s="6">
        <f>T116+T117+T118+T119+T120+T121+T122+T123+T124+T125</f>
        <v>0</v>
      </c>
      <c r="AU62" s="6">
        <f>U116+U117+U118+U119+U120+U121+U122+U123+U124+U125</f>
        <v>0</v>
      </c>
      <c r="AV62" s="6">
        <f>V116+V117+V118+V119+V120+V121+V122+V123+V124+V125</f>
        <v>3956</v>
      </c>
      <c r="AW62" s="6">
        <f>W116+W117+W118+W119+W120+W121+W122+W123+W124+W125</f>
        <v>0</v>
      </c>
      <c r="AX62" s="76">
        <f>AI116+AI117+AI118+AI119+AI120+AI121+AI122+AI123+AI124+AI125</f>
        <v>3</v>
      </c>
      <c r="AY62" s="6"/>
    </row>
    <row r="63" spans="1:56" x14ac:dyDescent="0.25">
      <c r="A63" s="366"/>
      <c r="B63" s="369"/>
      <c r="C63" s="122" t="s">
        <v>63</v>
      </c>
      <c r="D63" s="129">
        <v>1</v>
      </c>
      <c r="E63" s="129">
        <v>10</v>
      </c>
      <c r="F63" s="129">
        <v>2</v>
      </c>
      <c r="G63" s="129">
        <v>2</v>
      </c>
      <c r="H63" s="123"/>
      <c r="I63" s="123"/>
      <c r="J63" s="123"/>
      <c r="K63" s="123"/>
      <c r="L63" s="129">
        <v>5</v>
      </c>
      <c r="M63" s="129">
        <v>2</v>
      </c>
      <c r="N63" s="123"/>
      <c r="O63" s="123"/>
      <c r="P63" s="125">
        <f t="shared" si="0"/>
        <v>22</v>
      </c>
      <c r="Q63" s="129">
        <f>27+19+23+43</f>
        <v>112</v>
      </c>
      <c r="R63" s="123"/>
      <c r="S63" s="123"/>
      <c r="T63" s="123"/>
      <c r="U63" s="123"/>
      <c r="V63" s="129">
        <f>5+3+1</f>
        <v>9</v>
      </c>
      <c r="W63" s="123"/>
      <c r="X63" s="125">
        <f t="shared" si="8"/>
        <v>9</v>
      </c>
      <c r="Y63" s="129">
        <f>53+4+1+5+4</f>
        <v>67</v>
      </c>
      <c r="Z63" s="123"/>
      <c r="AA63" s="123"/>
      <c r="AB63" s="123"/>
      <c r="AC63" s="123"/>
      <c r="AD63" s="125">
        <f t="shared" si="9"/>
        <v>67</v>
      </c>
      <c r="AE63" s="123"/>
      <c r="AF63" s="123"/>
      <c r="AG63" s="123"/>
      <c r="AH63" s="123"/>
      <c r="AI63" s="123"/>
      <c r="AJ63" s="123"/>
      <c r="AK63" s="123"/>
      <c r="AL63" s="123"/>
      <c r="AM63" s="125">
        <f t="shared" si="1"/>
        <v>76</v>
      </c>
      <c r="AN63" s="138">
        <f>95500000000+47000000+24400000</f>
        <v>95571400000</v>
      </c>
      <c r="AP63" s="7" t="s">
        <v>167</v>
      </c>
      <c r="AQ63" s="6">
        <f>Q128+Q129+Q130+Q131+Q132+Q133+Q134+Q135+Q136+Q137</f>
        <v>120</v>
      </c>
      <c r="AR63" s="6" t="e">
        <f>R18+#REF!+R19+#REF!+R20+R21+R22+R23+R24+R25+R26+R27+R28+R29</f>
        <v>#REF!</v>
      </c>
      <c r="AS63" s="6">
        <f>S128+S129+S130+S131+S132+S133+S134+S135+S136+S137</f>
        <v>1</v>
      </c>
      <c r="AT63" s="6">
        <f>T128+T129+T130+T131+T132+T133+T134+T135+T136+T137</f>
        <v>0</v>
      </c>
      <c r="AU63" s="6">
        <f>U128+U129+U130+U131+U132+U133+U134+U135+U136+U137</f>
        <v>0</v>
      </c>
      <c r="AV63" s="6">
        <f>V128+V129+V130+V131+V132+V133+V134+V135+V136+V137</f>
        <v>57</v>
      </c>
      <c r="AW63" s="6">
        <f>W128+W129+W130+W131+W132+W133+W134+W135+W136+W137</f>
        <v>0</v>
      </c>
      <c r="AX63" s="76">
        <f>AI128+AI129+AI130+AI131+AI132+AI133+AI134+AI135+AI136+AI137</f>
        <v>1</v>
      </c>
      <c r="AY63" s="6"/>
    </row>
    <row r="64" spans="1:56" x14ac:dyDescent="0.25">
      <c r="A64" s="366"/>
      <c r="B64" s="369"/>
      <c r="C64" s="122" t="s">
        <v>64</v>
      </c>
      <c r="D64" s="129">
        <v>5</v>
      </c>
      <c r="E64" s="129">
        <v>7</v>
      </c>
      <c r="F64" s="123"/>
      <c r="G64" s="123"/>
      <c r="H64" s="123"/>
      <c r="I64" s="123"/>
      <c r="J64" s="123"/>
      <c r="K64" s="123"/>
      <c r="L64" s="129">
        <v>1</v>
      </c>
      <c r="M64" s="129">
        <v>1</v>
      </c>
      <c r="N64" s="123"/>
      <c r="O64" s="123"/>
      <c r="P64" s="125">
        <f t="shared" si="0"/>
        <v>14</v>
      </c>
      <c r="Q64" s="129">
        <f>26+40</f>
        <v>66</v>
      </c>
      <c r="R64" s="123"/>
      <c r="S64" s="123"/>
      <c r="T64" s="123"/>
      <c r="U64" s="123"/>
      <c r="V64" s="129">
        <f>12+4</f>
        <v>16</v>
      </c>
      <c r="W64" s="123"/>
      <c r="X64" s="125">
        <f t="shared" si="8"/>
        <v>16</v>
      </c>
      <c r="Y64" s="129">
        <f>37+40+10+1</f>
        <v>88</v>
      </c>
      <c r="Z64" s="123"/>
      <c r="AA64" s="123"/>
      <c r="AB64" s="123"/>
      <c r="AC64" s="123"/>
      <c r="AD64" s="125">
        <f t="shared" si="9"/>
        <v>88</v>
      </c>
      <c r="AE64" s="123"/>
      <c r="AF64" s="123"/>
      <c r="AG64" s="123"/>
      <c r="AH64" s="123"/>
      <c r="AI64" s="123"/>
      <c r="AJ64" s="123"/>
      <c r="AK64" s="123"/>
      <c r="AL64" s="123"/>
      <c r="AM64" s="125">
        <f t="shared" si="1"/>
        <v>104</v>
      </c>
      <c r="AN64" s="138">
        <f>12700000+10000000</f>
        <v>22700000</v>
      </c>
      <c r="AP64" s="151" t="s">
        <v>168</v>
      </c>
      <c r="AQ64" s="6">
        <f>Q140+Q141+Q142+Q143+Q144+Q145+Q146+Q147+Q148+Q149</f>
        <v>25</v>
      </c>
      <c r="AR64" s="6" t="e">
        <f>#REF!+R19+#REF!+R20+R21+R22+R23+R24+R25+R26+R27+R28+R29+R30</f>
        <v>#REF!</v>
      </c>
      <c r="AS64" s="6">
        <f>S140+S141+S142+S143+S144+S145+S146+S147+S148+S149</f>
        <v>1</v>
      </c>
      <c r="AT64" s="6">
        <f>T140+T141+T142+T143+T144+T145+T146+T147+T148+T149</f>
        <v>0</v>
      </c>
      <c r="AU64" s="6">
        <f>U140+U141+U142+U143+U144+U145+U146+U147+U148+U149</f>
        <v>0</v>
      </c>
      <c r="AV64" s="6">
        <f>V140+V141+V142+V143+V144+V145+V146+V147+V148+V149</f>
        <v>11163</v>
      </c>
      <c r="AW64" s="6">
        <f>W140+W141+W142+W143+W144+W145+W146+W147+W148+W149</f>
        <v>0</v>
      </c>
      <c r="AX64" s="76">
        <f>AI140+AI141+AI142+AI143+AI144+AI145+AI146+AI147+AI148+AI149</f>
        <v>0</v>
      </c>
      <c r="AY64" s="6"/>
    </row>
    <row r="65" spans="1:56" x14ac:dyDescent="0.25">
      <c r="A65" s="366"/>
      <c r="B65" s="369"/>
      <c r="C65" s="140" t="s">
        <v>65</v>
      </c>
      <c r="D65" s="129">
        <v>2</v>
      </c>
      <c r="E65" s="123"/>
      <c r="F65" s="129">
        <v>1</v>
      </c>
      <c r="G65" s="123"/>
      <c r="H65" s="123"/>
      <c r="I65" s="123"/>
      <c r="J65" s="123"/>
      <c r="K65" s="123"/>
      <c r="L65" s="123"/>
      <c r="M65" s="123"/>
      <c r="N65" s="123"/>
      <c r="O65" s="123"/>
      <c r="P65" s="125">
        <f t="shared" si="0"/>
        <v>3</v>
      </c>
      <c r="Q65" s="129">
        <v>22</v>
      </c>
      <c r="R65" s="123"/>
      <c r="S65" s="123"/>
      <c r="T65" s="123"/>
      <c r="U65" s="123"/>
      <c r="V65" s="123"/>
      <c r="W65" s="123"/>
      <c r="X65" s="125">
        <f t="shared" ref="X65:X118" si="16">SUM(R65:W65)</f>
        <v>0</v>
      </c>
      <c r="Y65" s="129">
        <f>1+2</f>
        <v>3</v>
      </c>
      <c r="Z65" s="123"/>
      <c r="AA65" s="123"/>
      <c r="AB65" s="123"/>
      <c r="AC65" s="123"/>
      <c r="AD65" s="125">
        <f t="shared" si="9"/>
        <v>3</v>
      </c>
      <c r="AE65" s="123"/>
      <c r="AF65" s="123"/>
      <c r="AG65" s="123"/>
      <c r="AH65" s="123"/>
      <c r="AI65" s="123"/>
      <c r="AJ65" s="123"/>
      <c r="AK65" s="123"/>
      <c r="AL65" s="123"/>
      <c r="AM65" s="125">
        <f t="shared" si="1"/>
        <v>3</v>
      </c>
      <c r="AN65" s="128"/>
      <c r="AP65" s="6" t="s">
        <v>170</v>
      </c>
      <c r="AQ65" s="6">
        <f>Q152+Q153+Q154+Q155+Q156+Q157+Q158+Q159+Q160+Q161</f>
        <v>8232</v>
      </c>
      <c r="AR65" s="6" t="e">
        <f>R19+#REF!+R20+R21+R22+R23+R24+R25+R26+R27+R28+R29+R30+#REF!</f>
        <v>#REF!</v>
      </c>
      <c r="AS65" s="6">
        <f>S152+S153+S154+S155+S156+S157+S158+S159+S160+S161</f>
        <v>0</v>
      </c>
      <c r="AT65" s="6">
        <f>T152+T153+T154+T155+T156+T157+T158+T159+T160+T161</f>
        <v>0</v>
      </c>
      <c r="AU65" s="6">
        <f>U152+U153+U154+U155+U156+U157+U158+U159+U160+U161</f>
        <v>0</v>
      </c>
      <c r="AV65" s="6">
        <f>V152+V153+V154+V155+V156+V157+V158+V159+V160+V161</f>
        <v>23384</v>
      </c>
      <c r="AW65" s="6">
        <f>W152+W153+W154+W155+W156+W157+W158+W159+W160+W161</f>
        <v>11</v>
      </c>
      <c r="AX65" s="76">
        <f>AI152+AI153+AI154+AI155+AI156+AI157+AI158+AI159+AI160+AI161</f>
        <v>0</v>
      </c>
      <c r="AY65" s="6"/>
    </row>
    <row r="66" spans="1:56" x14ac:dyDescent="0.25">
      <c r="A66" s="366"/>
      <c r="B66" s="369"/>
      <c r="C66" s="147" t="s">
        <v>66</v>
      </c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5">
        <f t="shared" si="0"/>
        <v>0</v>
      </c>
      <c r="Q66" s="123"/>
      <c r="R66" s="123"/>
      <c r="S66" s="123"/>
      <c r="T66" s="123"/>
      <c r="U66" s="123"/>
      <c r="V66" s="123"/>
      <c r="W66" s="123"/>
      <c r="X66" s="125">
        <f t="shared" si="16"/>
        <v>0</v>
      </c>
      <c r="Y66" s="123"/>
      <c r="Z66" s="123"/>
      <c r="AA66" s="123"/>
      <c r="AB66" s="123"/>
      <c r="AC66" s="123"/>
      <c r="AD66" s="125">
        <f t="shared" si="9"/>
        <v>0</v>
      </c>
      <c r="AE66" s="123"/>
      <c r="AF66" s="123"/>
      <c r="AG66" s="123"/>
      <c r="AH66" s="123"/>
      <c r="AI66" s="123"/>
      <c r="AJ66" s="123"/>
      <c r="AK66" s="123"/>
      <c r="AL66" s="123"/>
      <c r="AM66" s="125">
        <f t="shared" si="1"/>
        <v>0</v>
      </c>
      <c r="AN66" s="128"/>
      <c r="AP66" s="151" t="s">
        <v>171</v>
      </c>
      <c r="AQ66" s="6">
        <f>Q164+Q165+Q166+Q167+Q168+Q169+Q170+Q171+Q172+Q173</f>
        <v>450</v>
      </c>
      <c r="AR66" s="6" t="e">
        <f>#REF!+R20+R21+R22+R23+R24+R25+R26+R27+R28+R29+R30+#REF!+R31</f>
        <v>#REF!</v>
      </c>
      <c r="AS66" s="6">
        <f>S164+S165+S166+S167+S168+S169+S170+S171+S172+S173</f>
        <v>1</v>
      </c>
      <c r="AT66" s="6">
        <f>T164+T165+T166+T167+T168+T169+T170+T171+T172+T173</f>
        <v>0</v>
      </c>
      <c r="AU66" s="6">
        <f>U164+U165+U166+U167+U168+U169+U170+U171+U172+U173</f>
        <v>0</v>
      </c>
      <c r="AV66" s="6">
        <f>V164+V165+V166+V167+V168+V169+V170+V171+V172+V173</f>
        <v>35</v>
      </c>
      <c r="AW66" s="6">
        <f>W164+W165+W166+W167+W168+W169+W170+W171+W172+W173</f>
        <v>134</v>
      </c>
      <c r="AX66" s="76">
        <f>AI164+AI165+AI166+AI167+AI168+AI169+AI170+AI171+AI172+AI173</f>
        <v>0</v>
      </c>
      <c r="AY66" s="6"/>
    </row>
    <row r="67" spans="1:56" s="218" customFormat="1" x14ac:dyDescent="0.25">
      <c r="A67" s="367"/>
      <c r="B67" s="370"/>
      <c r="C67" s="221" t="s">
        <v>67</v>
      </c>
      <c r="D67" s="214"/>
      <c r="E67" s="214"/>
      <c r="F67" s="214"/>
      <c r="G67" s="214"/>
      <c r="H67" s="214"/>
      <c r="I67" s="214"/>
      <c r="J67" s="214"/>
      <c r="K67" s="214"/>
      <c r="L67" s="223">
        <v>1</v>
      </c>
      <c r="M67" s="223">
        <v>22</v>
      </c>
      <c r="N67" s="223">
        <v>11</v>
      </c>
      <c r="O67" s="214"/>
      <c r="P67" s="215">
        <f t="shared" si="0"/>
        <v>34</v>
      </c>
      <c r="Q67" s="223">
        <f>996+450</f>
        <v>1446</v>
      </c>
      <c r="R67" s="214"/>
      <c r="S67" s="214"/>
      <c r="T67" s="214"/>
      <c r="U67" s="214"/>
      <c r="V67" s="223">
        <v>200</v>
      </c>
      <c r="W67" s="214"/>
      <c r="X67" s="215">
        <f t="shared" si="16"/>
        <v>200</v>
      </c>
      <c r="Y67" s="214"/>
      <c r="Z67" s="214"/>
      <c r="AA67" s="214"/>
      <c r="AB67" s="214"/>
      <c r="AC67" s="214"/>
      <c r="AD67" s="215">
        <f t="shared" si="9"/>
        <v>0</v>
      </c>
      <c r="AE67" s="214"/>
      <c r="AF67" s="214"/>
      <c r="AG67" s="214"/>
      <c r="AH67" s="214"/>
      <c r="AI67" s="214"/>
      <c r="AJ67" s="214"/>
      <c r="AK67" s="214"/>
      <c r="AL67" s="214"/>
      <c r="AM67" s="215">
        <f t="shared" si="1"/>
        <v>200</v>
      </c>
      <c r="AN67" s="216"/>
      <c r="AO67" s="217"/>
      <c r="AP67" s="7" t="s">
        <v>172</v>
      </c>
      <c r="AQ67" s="6">
        <f>Q176+Q177+Q178+Q179+Q180+Q181+Q182+Q183+Q184+Q185</f>
        <v>495</v>
      </c>
      <c r="AR67" s="6" t="e">
        <f>R20+R21+R22+R23+R24+R25+R26+R27+R28+R29+R30+#REF!+R31+#REF!</f>
        <v>#REF!</v>
      </c>
      <c r="AS67" s="6">
        <f>S188+S189+S190+S191+S192+S193+S194+S195+S196+S197</f>
        <v>0</v>
      </c>
      <c r="AT67" s="6">
        <f>T188+T189+T190+T191+T192+T193+T194+T195+T196+T197</f>
        <v>0</v>
      </c>
      <c r="AU67" s="6">
        <f>U188+U189+U190+U191+U192+U193+U194+U195+U196+U197</f>
        <v>0</v>
      </c>
      <c r="AV67" s="6">
        <f>V188+V189+V190+V191+V192+V193+V194+V195+V196+V197</f>
        <v>378</v>
      </c>
      <c r="AW67" s="6">
        <f>W176+W177+W178+W179+W180+W181+W182+W183+W184+W185</f>
        <v>1</v>
      </c>
      <c r="AX67" s="76">
        <f>AI176+AI177+AI178+AI179+AI180+AI181+AI182+AI183+AI184+AI185</f>
        <v>0</v>
      </c>
      <c r="AY67" s="6"/>
      <c r="BD67" s="224"/>
    </row>
    <row r="68" spans="1:56" x14ac:dyDescent="0.25">
      <c r="A68" s="365">
        <v>6</v>
      </c>
      <c r="B68" s="368" t="s">
        <v>22</v>
      </c>
      <c r="C68" s="143" t="s">
        <v>56</v>
      </c>
      <c r="D68" s="176"/>
      <c r="E68" s="208">
        <v>1</v>
      </c>
      <c r="F68" s="176"/>
      <c r="G68" s="176"/>
      <c r="H68" s="176"/>
      <c r="I68" s="207"/>
      <c r="J68" s="176"/>
      <c r="K68" s="176"/>
      <c r="L68" s="176"/>
      <c r="M68" s="176"/>
      <c r="N68" s="176"/>
      <c r="O68" s="176"/>
      <c r="P68" s="209">
        <f t="shared" si="0"/>
        <v>1</v>
      </c>
      <c r="Q68" s="208">
        <v>1</v>
      </c>
      <c r="R68" s="207"/>
      <c r="S68" s="207"/>
      <c r="T68" s="207"/>
      <c r="U68" s="207"/>
      <c r="V68" s="207"/>
      <c r="W68" s="207"/>
      <c r="X68" s="209">
        <f t="shared" si="16"/>
        <v>0</v>
      </c>
      <c r="Y68" s="208">
        <v>1</v>
      </c>
      <c r="Z68" s="176"/>
      <c r="AA68" s="176"/>
      <c r="AB68" s="176"/>
      <c r="AC68" s="176"/>
      <c r="AD68" s="209">
        <f t="shared" si="9"/>
        <v>1</v>
      </c>
      <c r="AE68" s="176"/>
      <c r="AF68" s="176"/>
      <c r="AG68" s="176"/>
      <c r="AH68" s="176"/>
      <c r="AI68" s="176"/>
      <c r="AJ68" s="176"/>
      <c r="AK68" s="176"/>
      <c r="AL68" s="176"/>
      <c r="AM68" s="209">
        <f t="shared" si="1"/>
        <v>1</v>
      </c>
      <c r="AN68" s="210">
        <v>25000000</v>
      </c>
      <c r="AP68" s="227" t="s">
        <v>173</v>
      </c>
      <c r="AQ68" s="226">
        <f>Q188+Q189+Q190+Q191+Q192+Q193+Q194+Q195+Q196+Q197</f>
        <v>117</v>
      </c>
      <c r="AR68" s="226" t="e">
        <f>R21+R22+R23+R24+R25+R26+R27+R28+R29+R30+#REF!+R31+#REF!+R32</f>
        <v>#REF!</v>
      </c>
      <c r="AS68" s="226">
        <f>S188+S189+S190+S191+S192+S193+S194+S195+S196+S197</f>
        <v>0</v>
      </c>
      <c r="AT68" s="226">
        <f>T188+T189+T190+T191+T192+T193+T194+T195+T196+T197</f>
        <v>0</v>
      </c>
      <c r="AU68" s="226">
        <f>U188+U189+U190+U191+U192+U193+U194+U195+U196+U197</f>
        <v>0</v>
      </c>
      <c r="AV68" s="226">
        <f>V188+V189+V190+V191+V192+V193+V194+V195+V196+V197</f>
        <v>378</v>
      </c>
      <c r="AW68" s="226">
        <f>W188+W189+W190+W191+W192+W193+W194+W195+W196+W197</f>
        <v>16</v>
      </c>
      <c r="AX68" s="220">
        <f>AI188+AI189+AI190+AI191+AI192+AI193+AI194+AI195+AI196+AI197</f>
        <v>1</v>
      </c>
      <c r="AY68" s="226"/>
    </row>
    <row r="69" spans="1:56" x14ac:dyDescent="0.25">
      <c r="A69" s="366"/>
      <c r="B69" s="369"/>
      <c r="C69" s="122" t="s">
        <v>57</v>
      </c>
      <c r="D69" s="123"/>
      <c r="E69" s="123"/>
      <c r="F69" s="123"/>
      <c r="G69" s="123"/>
      <c r="H69" s="123"/>
      <c r="I69" s="126"/>
      <c r="J69" s="123"/>
      <c r="K69" s="123"/>
      <c r="L69" s="123"/>
      <c r="M69" s="123"/>
      <c r="N69" s="123"/>
      <c r="O69" s="123"/>
      <c r="P69" s="125">
        <f t="shared" si="0"/>
        <v>0</v>
      </c>
      <c r="Q69" s="126"/>
      <c r="R69" s="126"/>
      <c r="S69" s="126"/>
      <c r="T69" s="126"/>
      <c r="U69" s="126"/>
      <c r="V69" s="126"/>
      <c r="W69" s="126"/>
      <c r="X69" s="125">
        <f t="shared" si="16"/>
        <v>0</v>
      </c>
      <c r="Y69" s="123"/>
      <c r="Z69" s="123"/>
      <c r="AA69" s="123"/>
      <c r="AB69" s="123"/>
      <c r="AC69" s="123"/>
      <c r="AD69" s="125">
        <f t="shared" si="9"/>
        <v>0</v>
      </c>
      <c r="AE69" s="123"/>
      <c r="AF69" s="123">
        <v>0</v>
      </c>
      <c r="AG69" s="123"/>
      <c r="AH69" s="123"/>
      <c r="AI69" s="123"/>
      <c r="AJ69" s="123"/>
      <c r="AK69" s="123"/>
      <c r="AL69" s="123"/>
      <c r="AM69" s="125">
        <f t="shared" si="1"/>
        <v>0</v>
      </c>
      <c r="AN69" s="128"/>
      <c r="AP69" s="7" t="s">
        <v>174</v>
      </c>
      <c r="AQ69" s="6">
        <f>Q200+Q201+Q202+Q203+Q204+Q205+Q206+Q207+Q208+Q209</f>
        <v>14</v>
      </c>
      <c r="AR69" s="6" t="e">
        <f>R22+R23+R24+R25+R26+R27+R28+R29+R30+#REF!+R31+#REF!+R32+R33</f>
        <v>#REF!</v>
      </c>
      <c r="AS69" s="6">
        <f>S200+S201+S202+S203+S204+S205+S206+S207+S208+S209</f>
        <v>0</v>
      </c>
      <c r="AT69" s="6">
        <f>T200+T201+T202+T203+T204+T205+T206+T207+T208+T209</f>
        <v>0</v>
      </c>
      <c r="AU69" s="6">
        <f>U200+U201+U202+U203+U204+U205+U206+U207+U208+U209</f>
        <v>0</v>
      </c>
      <c r="AV69" s="6">
        <f>V200+V201+V202+V203+V204+V205+V206+V207+V208+V209</f>
        <v>30</v>
      </c>
      <c r="AW69" s="6">
        <f>W200+W201+W202+W203+W204+W205+W206+W207+W208+W209</f>
        <v>0</v>
      </c>
      <c r="AX69" s="76">
        <f>AI200+AI201+AI202+AI203+AI204+AI205+AI206+AI207+AI208+AI209</f>
        <v>0</v>
      </c>
      <c r="AY69" s="6"/>
    </row>
    <row r="70" spans="1:56" x14ac:dyDescent="0.25">
      <c r="A70" s="366"/>
      <c r="B70" s="369"/>
      <c r="C70" s="122" t="s">
        <v>58</v>
      </c>
      <c r="D70" s="129">
        <v>1</v>
      </c>
      <c r="E70" s="129">
        <v>1</v>
      </c>
      <c r="F70" s="123"/>
      <c r="G70" s="123"/>
      <c r="H70" s="123"/>
      <c r="I70" s="123"/>
      <c r="J70" s="123"/>
      <c r="K70" s="123"/>
      <c r="L70" s="123"/>
      <c r="M70" s="123"/>
      <c r="N70" s="123"/>
      <c r="O70" s="129">
        <v>1</v>
      </c>
      <c r="P70" s="125">
        <f t="shared" si="0"/>
        <v>3</v>
      </c>
      <c r="Q70" s="129">
        <f>300+24+15</f>
        <v>339</v>
      </c>
      <c r="R70" s="123"/>
      <c r="S70" s="123"/>
      <c r="T70" s="123"/>
      <c r="U70" s="123"/>
      <c r="V70" s="123"/>
      <c r="W70" s="129">
        <v>63</v>
      </c>
      <c r="X70" s="125">
        <f t="shared" si="16"/>
        <v>63</v>
      </c>
      <c r="Y70" s="129">
        <v>1</v>
      </c>
      <c r="Z70" s="123"/>
      <c r="AA70" s="123"/>
      <c r="AB70" s="123"/>
      <c r="AC70" s="123"/>
      <c r="AD70" s="125">
        <f t="shared" si="9"/>
        <v>1</v>
      </c>
      <c r="AE70" s="123"/>
      <c r="AF70" s="129">
        <v>1</v>
      </c>
      <c r="AG70" s="123"/>
      <c r="AH70" s="123"/>
      <c r="AI70" s="123"/>
      <c r="AJ70" s="123"/>
      <c r="AK70" s="123"/>
      <c r="AL70" s="123"/>
      <c r="AM70" s="125">
        <f t="shared" si="1"/>
        <v>64</v>
      </c>
      <c r="AN70" s="138">
        <f>100000000+10000000</f>
        <v>110000000</v>
      </c>
      <c r="AP70" s="151" t="s">
        <v>175</v>
      </c>
      <c r="AQ70" s="6">
        <f>Q212+Q213+Q214+Q215+Q216+Q217+Q218+Q219+Q220+Q221</f>
        <v>20</v>
      </c>
      <c r="AR70" s="6" t="e">
        <f>R23+R24+R25+R26+R27+R28+R29+R30+#REF!+R31+#REF!+R32+R33+R34</f>
        <v>#REF!</v>
      </c>
      <c r="AS70" s="6">
        <f>S212+S213+S214+S215+S216+S217+S218+S219+S220+S221</f>
        <v>0</v>
      </c>
      <c r="AT70" s="6">
        <f>T212+T213+T214+T215+T216+T217+T218+T219+T220+T221</f>
        <v>0</v>
      </c>
      <c r="AU70" s="6">
        <f>U212+U213+U214+U215+U216+U217+U218+U219+U220+U221</f>
        <v>0</v>
      </c>
      <c r="AV70" s="6">
        <f>V212+V213+V214+V215+V216+V217+V218+V219+V220+V221</f>
        <v>3</v>
      </c>
      <c r="AW70" s="6">
        <f>W212+W213+W214+W215+W216+W217+W218+W219+W220+W221</f>
        <v>0</v>
      </c>
      <c r="AX70" s="76">
        <f>AI212+AI213+AI214+AI215+AI216+AI217+AI218+AI219+AI220+AI221</f>
        <v>0</v>
      </c>
      <c r="AY70" s="6"/>
    </row>
    <row r="71" spans="1:56" x14ac:dyDescent="0.25">
      <c r="A71" s="366"/>
      <c r="B71" s="369"/>
      <c r="C71" s="122" t="s">
        <v>59</v>
      </c>
      <c r="D71" s="123"/>
      <c r="E71" s="123"/>
      <c r="F71" s="123"/>
      <c r="G71" s="123"/>
      <c r="H71" s="123"/>
      <c r="I71" s="126"/>
      <c r="J71" s="123"/>
      <c r="K71" s="123"/>
      <c r="L71" s="123"/>
      <c r="M71" s="123"/>
      <c r="N71" s="123"/>
      <c r="O71" s="123"/>
      <c r="P71" s="125">
        <f t="shared" si="0"/>
        <v>0</v>
      </c>
      <c r="Q71" s="126"/>
      <c r="R71" s="126"/>
      <c r="S71" s="126"/>
      <c r="T71" s="126"/>
      <c r="U71" s="126"/>
      <c r="V71" s="126"/>
      <c r="W71" s="126"/>
      <c r="X71" s="125">
        <f t="shared" si="16"/>
        <v>0</v>
      </c>
      <c r="Y71" s="123"/>
      <c r="Z71" s="123"/>
      <c r="AA71" s="123"/>
      <c r="AB71" s="123"/>
      <c r="AC71" s="123"/>
      <c r="AD71" s="125">
        <f t="shared" si="9"/>
        <v>0</v>
      </c>
      <c r="AE71" s="123"/>
      <c r="AF71" s="123"/>
      <c r="AG71" s="123"/>
      <c r="AH71" s="123"/>
      <c r="AI71" s="123"/>
      <c r="AJ71" s="123"/>
      <c r="AK71" s="123"/>
      <c r="AL71" s="123"/>
      <c r="AM71" s="125">
        <f t="shared" si="1"/>
        <v>0</v>
      </c>
      <c r="AN71" s="128"/>
      <c r="AP71" s="7" t="s">
        <v>176</v>
      </c>
      <c r="AQ71" s="6">
        <f>Q224+Q225+Q226+Q227+Q228+Q229+Q230+Q231+Q232+Q233</f>
        <v>1587</v>
      </c>
      <c r="AR71" s="6" t="e">
        <f>R24+R25+R26+R27+R28+R29+R30+#REF!+R31+#REF!+R32+R33+R34+R35</f>
        <v>#REF!</v>
      </c>
      <c r="AS71" s="6">
        <f>S224+S225+S226+S227+S228+S229+S230+S231+S232+S233</f>
        <v>0</v>
      </c>
      <c r="AT71" s="6">
        <f>T224+T225+T226+T227+T228+T229+T230+T231+T232+T233</f>
        <v>0</v>
      </c>
      <c r="AU71" s="6">
        <f>U224+U225+U226+U227+U228+U229+U230+U231+U232+U233</f>
        <v>0</v>
      </c>
      <c r="AV71" s="6">
        <f>V224+V225+V226+V227+V228+V229+V230+V231+V232+V233</f>
        <v>2468</v>
      </c>
      <c r="AW71" s="6">
        <f>W224+W225+W226+W227+W228+W229+W230+W231+W232+W233</f>
        <v>388</v>
      </c>
      <c r="AX71" s="76">
        <f>AI224+AI225+AI226+AI227+AI228+AI229+AI230+AI231+AI232+AI233</f>
        <v>4</v>
      </c>
      <c r="AY71" s="6"/>
    </row>
    <row r="72" spans="1:56" x14ac:dyDescent="0.25">
      <c r="A72" s="366"/>
      <c r="B72" s="369"/>
      <c r="C72" s="122" t="s">
        <v>60</v>
      </c>
      <c r="D72" s="123"/>
      <c r="E72" s="123"/>
      <c r="F72" s="123"/>
      <c r="G72" s="123"/>
      <c r="H72" s="123"/>
      <c r="I72" s="126"/>
      <c r="J72" s="123"/>
      <c r="K72" s="123"/>
      <c r="L72" s="123"/>
      <c r="M72" s="123"/>
      <c r="N72" s="123"/>
      <c r="O72" s="123"/>
      <c r="P72" s="125">
        <f t="shared" ref="P72:P135" si="17">SUM(D72:O72)</f>
        <v>0</v>
      </c>
      <c r="Q72" s="126"/>
      <c r="R72" s="126"/>
      <c r="S72" s="126"/>
      <c r="T72" s="126"/>
      <c r="U72" s="126"/>
      <c r="V72" s="126"/>
      <c r="W72" s="126"/>
      <c r="X72" s="125">
        <f t="shared" si="16"/>
        <v>0</v>
      </c>
      <c r="Y72" s="123"/>
      <c r="Z72" s="123"/>
      <c r="AA72" s="123"/>
      <c r="AB72" s="123"/>
      <c r="AC72" s="123"/>
      <c r="AD72" s="125">
        <f t="shared" si="9"/>
        <v>0</v>
      </c>
      <c r="AE72" s="123"/>
      <c r="AF72" s="123"/>
      <c r="AG72" s="123"/>
      <c r="AH72" s="123"/>
      <c r="AI72" s="123"/>
      <c r="AJ72" s="123"/>
      <c r="AK72" s="123"/>
      <c r="AL72" s="123"/>
      <c r="AM72" s="125">
        <f t="shared" si="1"/>
        <v>0</v>
      </c>
      <c r="AN72" s="128"/>
      <c r="AP72" s="151" t="s">
        <v>177</v>
      </c>
      <c r="AQ72" s="6">
        <f>Q236+Q237+Q238+Q239+Q240+Q241+Q242+Q243+Q244+Q245</f>
        <v>63</v>
      </c>
      <c r="AR72" s="6" t="e">
        <f>R25+R26+R27+R28+R29+R30+#REF!+R31+#REF!+R32+R33+R34+R35+R36</f>
        <v>#REF!</v>
      </c>
      <c r="AS72" s="6">
        <f>S224+S225+S226+S227+S228+S229+S230+S231+S232+S233</f>
        <v>0</v>
      </c>
      <c r="AT72" s="6">
        <f>T224+T225+T226+T227+T228+T229+T230+T231+T232+T233</f>
        <v>0</v>
      </c>
      <c r="AU72" s="6">
        <f>U224+U225+U226+U227+U228+U229+U230+U231+U232+U233</f>
        <v>0</v>
      </c>
      <c r="AV72" s="6">
        <f>V224+V225+V226+V227+V228+V229+V230+V231+V232+V233</f>
        <v>2468</v>
      </c>
      <c r="AW72" s="6">
        <f>W236+W237+W238+W239+W240+W241+W242+W243+W244+W245</f>
        <v>0</v>
      </c>
      <c r="AX72" s="76">
        <f>AI236+AI237+AI238+AI239+AI240+AI241+AI242+AI243+AI244+AI245</f>
        <v>0</v>
      </c>
      <c r="AY72" s="6"/>
    </row>
    <row r="73" spans="1:56" x14ac:dyDescent="0.25">
      <c r="A73" s="366"/>
      <c r="B73" s="369"/>
      <c r="C73" s="122" t="s">
        <v>61</v>
      </c>
      <c r="D73" s="123"/>
      <c r="E73" s="123"/>
      <c r="F73" s="123"/>
      <c r="G73" s="123"/>
      <c r="H73" s="123"/>
      <c r="I73" s="126"/>
      <c r="J73" s="123"/>
      <c r="K73" s="123"/>
      <c r="L73" s="123"/>
      <c r="M73" s="123"/>
      <c r="N73" s="123"/>
      <c r="O73" s="123"/>
      <c r="P73" s="125">
        <f t="shared" si="17"/>
        <v>0</v>
      </c>
      <c r="Q73" s="126"/>
      <c r="R73" s="126"/>
      <c r="S73" s="126"/>
      <c r="T73" s="126"/>
      <c r="U73" s="126"/>
      <c r="V73" s="126"/>
      <c r="W73" s="126"/>
      <c r="X73" s="125">
        <f t="shared" si="16"/>
        <v>0</v>
      </c>
      <c r="Y73" s="123"/>
      <c r="Z73" s="123"/>
      <c r="AA73" s="123"/>
      <c r="AB73" s="123"/>
      <c r="AC73" s="123"/>
      <c r="AD73" s="125">
        <f t="shared" ref="AD73:AD118" si="18">SUM(Y73:AC73)</f>
        <v>0</v>
      </c>
      <c r="AE73" s="123"/>
      <c r="AF73" s="123"/>
      <c r="AG73" s="123"/>
      <c r="AH73" s="123"/>
      <c r="AI73" s="123"/>
      <c r="AJ73" s="123"/>
      <c r="AK73" s="123"/>
      <c r="AL73" s="123"/>
      <c r="AM73" s="125">
        <f t="shared" si="1"/>
        <v>0</v>
      </c>
      <c r="AN73" s="128"/>
      <c r="AP73" s="7" t="s">
        <v>178</v>
      </c>
      <c r="AQ73" s="6">
        <f>Q248+Q249+Q250+Q251+Q252+Q253+Q254+Q255+Q256+Q257</f>
        <v>27</v>
      </c>
      <c r="AR73" s="6" t="e">
        <f>R26+R27+R28+R29+R30+#REF!+R31+#REF!+R32+R33+R34+R35+R36+R37</f>
        <v>#REF!</v>
      </c>
      <c r="AS73" s="6">
        <f>S248+S249+S250+S251+S252+S253+S254+S255+S256+S257</f>
        <v>1</v>
      </c>
      <c r="AT73" s="6">
        <f>T248+T249+T250+T251+T252+T253+T254+T255+T256+T257</f>
        <v>0</v>
      </c>
      <c r="AU73" s="6">
        <f>U248+U249+U250+U251+U252+U253+U254+U255+U256+U257</f>
        <v>0</v>
      </c>
      <c r="AV73" s="6">
        <f>V248+V249+V250+V251+V252+V253+V254+V255+V256+V257</f>
        <v>75</v>
      </c>
      <c r="AW73" s="6">
        <f>W248+W249+W250+W251+W252+W253+W254+W255+W256+W257</f>
        <v>0</v>
      </c>
      <c r="AX73" s="76">
        <f>AI248+AI249+AI250+AI251+AI252+AI253+AI254+AI255+AI256+AI257</f>
        <v>0</v>
      </c>
      <c r="AY73" s="6"/>
    </row>
    <row r="74" spans="1:56" x14ac:dyDescent="0.25">
      <c r="A74" s="366"/>
      <c r="B74" s="369"/>
      <c r="C74" s="122" t="s">
        <v>62</v>
      </c>
      <c r="D74" s="123"/>
      <c r="E74" s="123"/>
      <c r="F74" s="123"/>
      <c r="G74" s="123"/>
      <c r="H74" s="123"/>
      <c r="I74" s="126"/>
      <c r="J74" s="129">
        <v>1</v>
      </c>
      <c r="K74" s="123"/>
      <c r="L74" s="129">
        <v>2</v>
      </c>
      <c r="M74" s="129">
        <v>1</v>
      </c>
      <c r="N74" s="123"/>
      <c r="O74" s="123"/>
      <c r="P74" s="125">
        <f t="shared" si="17"/>
        <v>4</v>
      </c>
      <c r="Q74" s="129">
        <f>3+1+5</f>
        <v>9</v>
      </c>
      <c r="R74" s="126"/>
      <c r="S74" s="126"/>
      <c r="T74" s="126"/>
      <c r="U74" s="126"/>
      <c r="V74" s="129">
        <f>12+24</f>
        <v>36</v>
      </c>
      <c r="W74" s="126"/>
      <c r="X74" s="125">
        <f t="shared" si="16"/>
        <v>36</v>
      </c>
      <c r="Y74" s="129">
        <f>3+1+5</f>
        <v>9</v>
      </c>
      <c r="Z74" s="123"/>
      <c r="AA74" s="123"/>
      <c r="AB74" s="123"/>
      <c r="AC74" s="123"/>
      <c r="AD74" s="125">
        <f t="shared" si="18"/>
        <v>9</v>
      </c>
      <c r="AE74" s="123"/>
      <c r="AF74" s="123"/>
      <c r="AG74" s="123"/>
      <c r="AH74" s="123"/>
      <c r="AI74" s="123"/>
      <c r="AJ74" s="123"/>
      <c r="AK74" s="123"/>
      <c r="AL74" s="123"/>
      <c r="AM74" s="125">
        <f t="shared" si="1"/>
        <v>45</v>
      </c>
      <c r="AN74" s="138">
        <v>120000000</v>
      </c>
      <c r="AP74" s="150" t="s">
        <v>179</v>
      </c>
      <c r="AQ74" s="6">
        <f>Q260+Q261+Q262+Q263+Q264+Q265+Q266+Q267+Q268+Q269</f>
        <v>1378</v>
      </c>
      <c r="AR74" s="6" t="e">
        <f>R27+R28+R29+R30+#REF!+R31+#REF!+R32+R33+R34+R35+R36+R37+R38</f>
        <v>#REF!</v>
      </c>
      <c r="AS74" s="6">
        <f>S260+S261+S262+S263+S264+S265+S266+S267+S268+S269</f>
        <v>0</v>
      </c>
      <c r="AT74" s="6">
        <f>T260+T261+T262+T263+T264+T265+T266+T267+T268+T269</f>
        <v>0</v>
      </c>
      <c r="AU74" s="6">
        <f>U260+U261+U262+U263+U264+U265+U266+U267+U268+U269</f>
        <v>0</v>
      </c>
      <c r="AV74" s="6">
        <f>V260+V261+V262+V263+V264+V265+V266+V267+V268+V269</f>
        <v>939</v>
      </c>
      <c r="AW74" s="6">
        <f>W260+W261+W262+W263+W264+W265+W266+W267+W268+W269</f>
        <v>40</v>
      </c>
      <c r="AX74" s="76">
        <f>AI260+AI261+AI262+AI263+AI264+AI265+AI266+AI267+AI268+AI269</f>
        <v>2</v>
      </c>
      <c r="AY74" s="6"/>
    </row>
    <row r="75" spans="1:56" x14ac:dyDescent="0.25">
      <c r="A75" s="366"/>
      <c r="B75" s="369"/>
      <c r="C75" s="122" t="s">
        <v>63</v>
      </c>
      <c r="D75" s="123"/>
      <c r="E75" s="123"/>
      <c r="F75" s="123"/>
      <c r="G75" s="123"/>
      <c r="H75" s="123"/>
      <c r="I75" s="126"/>
      <c r="J75" s="123"/>
      <c r="K75" s="123"/>
      <c r="L75" s="123"/>
      <c r="M75" s="123"/>
      <c r="N75" s="123"/>
      <c r="O75" s="123"/>
      <c r="P75" s="125">
        <f t="shared" si="17"/>
        <v>0</v>
      </c>
      <c r="Q75" s="126"/>
      <c r="R75" s="126"/>
      <c r="S75" s="126"/>
      <c r="T75" s="126"/>
      <c r="U75" s="126"/>
      <c r="V75" s="126"/>
      <c r="W75" s="126"/>
      <c r="X75" s="125">
        <f t="shared" si="16"/>
        <v>0</v>
      </c>
      <c r="Y75" s="123"/>
      <c r="Z75" s="123"/>
      <c r="AA75" s="123"/>
      <c r="AB75" s="123"/>
      <c r="AC75" s="123"/>
      <c r="AD75" s="125">
        <f t="shared" si="18"/>
        <v>0</v>
      </c>
      <c r="AE75" s="123"/>
      <c r="AF75" s="123"/>
      <c r="AG75" s="123"/>
      <c r="AH75" s="123"/>
      <c r="AI75" s="123"/>
      <c r="AJ75" s="123"/>
      <c r="AK75" s="123"/>
      <c r="AL75" s="123"/>
      <c r="AM75" s="125">
        <f t="shared" si="1"/>
        <v>0</v>
      </c>
      <c r="AN75" s="128"/>
      <c r="AP75" s="7" t="s">
        <v>180</v>
      </c>
      <c r="AQ75" s="6">
        <f>Q272+Q273+Q274+Q275+Q276+Q277+Q278+Q279+Q280+Q281</f>
        <v>42</v>
      </c>
      <c r="AR75" s="6" t="e">
        <f>R28+R29+R30+#REF!+R31+#REF!+R32+R33+R34+R35+R36+R37+R38+R39</f>
        <v>#REF!</v>
      </c>
      <c r="AS75" s="6">
        <f>S272+S273+S274+S275+S276+S277+S278+S279+S280+S281</f>
        <v>0</v>
      </c>
      <c r="AT75" s="6">
        <f>T272+T273+T274+T275+T276+T277+T278+T279+T280+T281</f>
        <v>0</v>
      </c>
      <c r="AU75" s="6">
        <f>U272+U273+U274+U275+U276+U277+U278+U279+U280+U281</f>
        <v>0</v>
      </c>
      <c r="AV75" s="6">
        <f>V272+V273+V274+V275+V276+V277+V278+V279+V280+V281</f>
        <v>2</v>
      </c>
      <c r="AW75" s="6">
        <f>W272+W273+W274+W275+W276+W277+W278+W279+W280+W281</f>
        <v>0</v>
      </c>
      <c r="AX75" s="76">
        <f>AI272+AI273+AI274+AI275+AI276+AI277+AI278+AI279+AI280+AI281</f>
        <v>0</v>
      </c>
      <c r="AY75" s="6"/>
    </row>
    <row r="76" spans="1:56" x14ac:dyDescent="0.25">
      <c r="A76" s="366"/>
      <c r="B76" s="369"/>
      <c r="C76" s="122" t="s">
        <v>64</v>
      </c>
      <c r="D76" s="129">
        <v>2</v>
      </c>
      <c r="E76" s="129">
        <v>1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5">
        <f t="shared" si="17"/>
        <v>3</v>
      </c>
      <c r="Q76" s="129">
        <f>64+81</f>
        <v>145</v>
      </c>
      <c r="R76" s="123"/>
      <c r="S76" s="123"/>
      <c r="T76" s="123"/>
      <c r="U76" s="123"/>
      <c r="V76" s="123"/>
      <c r="W76" s="123"/>
      <c r="X76" s="125">
        <f t="shared" si="16"/>
        <v>0</v>
      </c>
      <c r="Y76" s="129">
        <f>64+81</f>
        <v>145</v>
      </c>
      <c r="Z76" s="123"/>
      <c r="AA76" s="123"/>
      <c r="AB76" s="123"/>
      <c r="AC76" s="123"/>
      <c r="AD76" s="125">
        <f t="shared" si="18"/>
        <v>145</v>
      </c>
      <c r="AE76" s="123"/>
      <c r="AF76" s="123"/>
      <c r="AG76" s="123"/>
      <c r="AH76" s="123"/>
      <c r="AI76" s="123"/>
      <c r="AJ76" s="123"/>
      <c r="AK76" s="123"/>
      <c r="AL76" s="123"/>
      <c r="AM76" s="125">
        <f t="shared" si="1"/>
        <v>145</v>
      </c>
      <c r="AN76" s="152">
        <f>231650000+465000000</f>
        <v>696650000</v>
      </c>
      <c r="AP76" s="151" t="s">
        <v>181</v>
      </c>
      <c r="AQ76" s="6">
        <f>Q284+Q285+Q286+Q287+Q288+Q289+Q290+Q291+Q292+Q293</f>
        <v>994</v>
      </c>
      <c r="AR76" s="6" t="e">
        <f>R29+R30+#REF!+R31+#REF!+R32+R33+R34+R35+R36+R37+R38+R39+R40</f>
        <v>#REF!</v>
      </c>
      <c r="AS76" s="6">
        <f>S284+S285+S286+S287+S288+S289+S290+S291+S292+S293</f>
        <v>15</v>
      </c>
      <c r="AT76" s="6">
        <f>T284+T285+T286+T287+T288+T289+T290+T291+T292+T293</f>
        <v>0</v>
      </c>
      <c r="AU76" s="6">
        <f>U284+U285+U286+U287+U288+U289+U290+U291+U292+U293</f>
        <v>0</v>
      </c>
      <c r="AV76" s="6">
        <f>V284+V285+V286+V287+V288+V289+V290+V291+V292+V293</f>
        <v>2850</v>
      </c>
      <c r="AW76" s="6">
        <f>W284+W285+W286+W287+W288+W289+W290+W291+W292+W293</f>
        <v>259</v>
      </c>
      <c r="AX76" s="76">
        <f>AI284+AI285+AI286+AI287+AI288+AI289+AI290+AI291+AI292+AI293</f>
        <v>0</v>
      </c>
      <c r="AY76" s="6"/>
    </row>
    <row r="77" spans="1:56" x14ac:dyDescent="0.25">
      <c r="A77" s="366"/>
      <c r="B77" s="369"/>
      <c r="C77" s="140" t="s">
        <v>65</v>
      </c>
      <c r="D77" s="123"/>
      <c r="E77" s="123"/>
      <c r="F77" s="123"/>
      <c r="G77" s="123"/>
      <c r="H77" s="123"/>
      <c r="I77" s="126"/>
      <c r="J77" s="123"/>
      <c r="K77" s="123"/>
      <c r="L77" s="123"/>
      <c r="M77" s="123"/>
      <c r="N77" s="123"/>
      <c r="O77" s="123"/>
      <c r="P77" s="125">
        <f t="shared" si="17"/>
        <v>0</v>
      </c>
      <c r="Q77" s="126"/>
      <c r="R77" s="126"/>
      <c r="S77" s="126"/>
      <c r="T77" s="126"/>
      <c r="U77" s="126"/>
      <c r="V77" s="126"/>
      <c r="W77" s="126"/>
      <c r="X77" s="125">
        <f t="shared" si="16"/>
        <v>0</v>
      </c>
      <c r="Y77" s="123"/>
      <c r="Z77" s="123"/>
      <c r="AA77" s="123"/>
      <c r="AB77" s="123"/>
      <c r="AC77" s="123"/>
      <c r="AD77" s="125">
        <f t="shared" si="18"/>
        <v>0</v>
      </c>
      <c r="AE77" s="123"/>
      <c r="AF77" s="123"/>
      <c r="AG77" s="123"/>
      <c r="AH77" s="123"/>
      <c r="AI77" s="123"/>
      <c r="AJ77" s="123"/>
      <c r="AK77" s="123"/>
      <c r="AL77" s="123"/>
      <c r="AM77" s="125">
        <f t="shared" si="1"/>
        <v>0</v>
      </c>
      <c r="AN77" s="128"/>
      <c r="AP77" s="153" t="s">
        <v>15</v>
      </c>
      <c r="AQ77" s="154">
        <f>SUM(AQ53:AQ76)</f>
        <v>17065</v>
      </c>
      <c r="AR77" s="154" t="e">
        <f t="shared" ref="AR77:AY77" si="19">SUM(AR53:AR76)</f>
        <v>#REF!</v>
      </c>
      <c r="AS77" s="154">
        <f t="shared" si="19"/>
        <v>30</v>
      </c>
      <c r="AT77" s="154">
        <f t="shared" si="19"/>
        <v>0</v>
      </c>
      <c r="AU77" s="154">
        <f t="shared" si="19"/>
        <v>0</v>
      </c>
      <c r="AV77" s="154">
        <f t="shared" si="19"/>
        <v>50943</v>
      </c>
      <c r="AW77" s="154">
        <f t="shared" si="19"/>
        <v>990</v>
      </c>
      <c r="AX77" s="154">
        <f t="shared" si="19"/>
        <v>11</v>
      </c>
      <c r="AY77" s="154">
        <f t="shared" si="19"/>
        <v>0</v>
      </c>
    </row>
    <row r="78" spans="1:56" x14ac:dyDescent="0.25">
      <c r="A78" s="366"/>
      <c r="B78" s="369"/>
      <c r="C78" s="147" t="s">
        <v>66</v>
      </c>
      <c r="D78" s="123"/>
      <c r="E78" s="123"/>
      <c r="F78" s="123"/>
      <c r="G78" s="123"/>
      <c r="H78" s="123"/>
      <c r="I78" s="126"/>
      <c r="J78" s="123"/>
      <c r="K78" s="123"/>
      <c r="L78" s="123"/>
      <c r="M78" s="129">
        <v>2</v>
      </c>
      <c r="N78" s="123"/>
      <c r="O78" s="123"/>
      <c r="P78" s="125">
        <f t="shared" si="17"/>
        <v>2</v>
      </c>
      <c r="Q78" s="126"/>
      <c r="R78" s="126"/>
      <c r="S78" s="126"/>
      <c r="T78" s="126"/>
      <c r="U78" s="126"/>
      <c r="V78" s="126"/>
      <c r="W78" s="126"/>
      <c r="X78" s="125">
        <f t="shared" si="16"/>
        <v>0</v>
      </c>
      <c r="Y78" s="123"/>
      <c r="Z78" s="123"/>
      <c r="AA78" s="123"/>
      <c r="AB78" s="123"/>
      <c r="AC78" s="123"/>
      <c r="AD78" s="125">
        <f t="shared" si="18"/>
        <v>0</v>
      </c>
      <c r="AE78" s="123"/>
      <c r="AF78" s="123"/>
      <c r="AG78" s="123"/>
      <c r="AH78" s="123"/>
      <c r="AI78" s="123"/>
      <c r="AJ78" s="123"/>
      <c r="AK78" s="123"/>
      <c r="AL78" s="123"/>
      <c r="AM78" s="125">
        <f t="shared" si="1"/>
        <v>0</v>
      </c>
      <c r="AN78" s="128"/>
    </row>
    <row r="79" spans="1:56" s="218" customFormat="1" x14ac:dyDescent="0.25">
      <c r="A79" s="367"/>
      <c r="B79" s="370"/>
      <c r="C79" s="221" t="s">
        <v>67</v>
      </c>
      <c r="D79" s="214"/>
      <c r="E79" s="214"/>
      <c r="F79" s="214"/>
      <c r="G79" s="214"/>
      <c r="H79" s="214"/>
      <c r="I79" s="222"/>
      <c r="J79" s="214"/>
      <c r="K79" s="214"/>
      <c r="L79" s="214"/>
      <c r="M79" s="214"/>
      <c r="N79" s="214"/>
      <c r="O79" s="214"/>
      <c r="P79" s="215">
        <f t="shared" si="17"/>
        <v>0</v>
      </c>
      <c r="Q79" s="222"/>
      <c r="R79" s="222"/>
      <c r="S79" s="222"/>
      <c r="T79" s="222"/>
      <c r="U79" s="222"/>
      <c r="V79" s="222"/>
      <c r="W79" s="222"/>
      <c r="X79" s="215">
        <f t="shared" si="16"/>
        <v>0</v>
      </c>
      <c r="Y79" s="214"/>
      <c r="Z79" s="214"/>
      <c r="AA79" s="214"/>
      <c r="AB79" s="214"/>
      <c r="AC79" s="214"/>
      <c r="AD79" s="215">
        <f t="shared" si="18"/>
        <v>0</v>
      </c>
      <c r="AE79" s="214"/>
      <c r="AF79" s="214"/>
      <c r="AG79" s="214"/>
      <c r="AH79" s="214"/>
      <c r="AI79" s="214"/>
      <c r="AJ79" s="214"/>
      <c r="AK79" s="214"/>
      <c r="AL79" s="214"/>
      <c r="AM79" s="215">
        <f t="shared" si="1"/>
        <v>0</v>
      </c>
      <c r="AN79" s="216"/>
      <c r="AO79" s="217"/>
      <c r="BD79" s="224"/>
    </row>
    <row r="80" spans="1:56" x14ac:dyDescent="0.25">
      <c r="A80" s="365">
        <v>7</v>
      </c>
      <c r="B80" s="368" t="s">
        <v>18</v>
      </c>
      <c r="C80" s="143" t="s">
        <v>56</v>
      </c>
      <c r="D80" s="176"/>
      <c r="E80" s="176"/>
      <c r="F80" s="176"/>
      <c r="G80" s="176"/>
      <c r="H80" s="208">
        <v>7</v>
      </c>
      <c r="I80" s="208">
        <v>6</v>
      </c>
      <c r="J80" s="208">
        <v>1</v>
      </c>
      <c r="K80" s="176"/>
      <c r="L80" s="176"/>
      <c r="M80" s="176"/>
      <c r="N80" s="176"/>
      <c r="O80" s="176"/>
      <c r="P80" s="209">
        <f t="shared" si="17"/>
        <v>14</v>
      </c>
      <c r="Q80" s="208">
        <f>17+57+631</f>
        <v>705</v>
      </c>
      <c r="R80" s="207"/>
      <c r="S80" s="207"/>
      <c r="T80" s="207"/>
      <c r="U80" s="207"/>
      <c r="V80" s="208">
        <f>78+190+2150</f>
        <v>2418</v>
      </c>
      <c r="W80" s="207"/>
      <c r="X80" s="209">
        <f t="shared" si="16"/>
        <v>2418</v>
      </c>
      <c r="Y80" s="208">
        <f>41+631</f>
        <v>672</v>
      </c>
      <c r="Z80" s="208">
        <v>1</v>
      </c>
      <c r="AA80" s="176"/>
      <c r="AB80" s="176"/>
      <c r="AC80" s="208">
        <v>1</v>
      </c>
      <c r="AD80" s="209">
        <f t="shared" si="18"/>
        <v>674</v>
      </c>
      <c r="AE80" s="208">
        <f>2+52</f>
        <v>54</v>
      </c>
      <c r="AF80" s="208">
        <f>5+18</f>
        <v>23</v>
      </c>
      <c r="AG80" s="208">
        <v>1</v>
      </c>
      <c r="AH80" s="176"/>
      <c r="AI80" s="176"/>
      <c r="AJ80" s="176"/>
      <c r="AK80" s="176"/>
      <c r="AL80" s="176"/>
      <c r="AM80" s="209">
        <f t="shared" si="1"/>
        <v>3092</v>
      </c>
      <c r="AN80" s="219"/>
    </row>
    <row r="81" spans="1:56" x14ac:dyDescent="0.25">
      <c r="A81" s="366"/>
      <c r="B81" s="369"/>
      <c r="C81" s="122" t="s">
        <v>57</v>
      </c>
      <c r="D81" s="123"/>
      <c r="E81" s="123"/>
      <c r="F81" s="123"/>
      <c r="G81" s="123"/>
      <c r="H81" s="123"/>
      <c r="I81" s="126"/>
      <c r="J81" s="123"/>
      <c r="K81" s="123"/>
      <c r="L81" s="123"/>
      <c r="M81" s="123"/>
      <c r="N81" s="123"/>
      <c r="O81" s="123"/>
      <c r="P81" s="125">
        <f t="shared" si="17"/>
        <v>0</v>
      </c>
      <c r="Q81" s="126"/>
      <c r="R81" s="126"/>
      <c r="S81" s="126"/>
      <c r="T81" s="126"/>
      <c r="U81" s="126"/>
      <c r="V81" s="126"/>
      <c r="W81" s="126"/>
      <c r="X81" s="125">
        <f t="shared" si="16"/>
        <v>0</v>
      </c>
      <c r="Y81" s="123"/>
      <c r="Z81" s="123"/>
      <c r="AA81" s="123"/>
      <c r="AB81" s="123"/>
      <c r="AC81" s="123"/>
      <c r="AD81" s="125">
        <f t="shared" si="18"/>
        <v>0</v>
      </c>
      <c r="AE81" s="123"/>
      <c r="AF81" s="123">
        <v>0</v>
      </c>
      <c r="AG81" s="123"/>
      <c r="AH81" s="123"/>
      <c r="AI81" s="123"/>
      <c r="AJ81" s="123"/>
      <c r="AK81" s="123"/>
      <c r="AL81" s="123"/>
      <c r="AM81" s="125">
        <f t="shared" si="1"/>
        <v>0</v>
      </c>
      <c r="AN81" s="128"/>
    </row>
    <row r="82" spans="1:56" x14ac:dyDescent="0.25">
      <c r="A82" s="366"/>
      <c r="B82" s="369"/>
      <c r="C82" s="122" t="s">
        <v>58</v>
      </c>
      <c r="D82" s="123"/>
      <c r="E82" s="123"/>
      <c r="F82" s="123"/>
      <c r="G82" s="123"/>
      <c r="H82" s="129">
        <v>3</v>
      </c>
      <c r="I82" s="129">
        <v>4</v>
      </c>
      <c r="J82" s="129">
        <v>1</v>
      </c>
      <c r="K82" s="123"/>
      <c r="L82" s="123"/>
      <c r="M82" s="123"/>
      <c r="N82" s="123"/>
      <c r="O82" s="129">
        <v>1</v>
      </c>
      <c r="P82" s="125">
        <f t="shared" si="17"/>
        <v>9</v>
      </c>
      <c r="Q82" s="129">
        <f>17+1</f>
        <v>18</v>
      </c>
      <c r="R82" s="126"/>
      <c r="S82" s="129">
        <v>1</v>
      </c>
      <c r="T82" s="126"/>
      <c r="U82" s="126"/>
      <c r="V82" s="129">
        <v>3</v>
      </c>
      <c r="W82" s="126"/>
      <c r="X82" s="125">
        <f t="shared" si="16"/>
        <v>4</v>
      </c>
      <c r="Y82" s="129">
        <f>3+3</f>
        <v>6</v>
      </c>
      <c r="Z82" s="123"/>
      <c r="AA82" s="123"/>
      <c r="AB82" s="123"/>
      <c r="AC82" s="123"/>
      <c r="AD82" s="125">
        <f t="shared" si="18"/>
        <v>6</v>
      </c>
      <c r="AE82" s="129">
        <f>3+94+30</f>
        <v>127</v>
      </c>
      <c r="AF82" s="123"/>
      <c r="AG82" s="123"/>
      <c r="AH82" s="123"/>
      <c r="AI82" s="123"/>
      <c r="AJ82" s="123"/>
      <c r="AK82" s="123"/>
      <c r="AL82" s="123"/>
      <c r="AM82" s="125">
        <f t="shared" si="1"/>
        <v>10</v>
      </c>
      <c r="AN82" s="138">
        <v>700000000</v>
      </c>
    </row>
    <row r="83" spans="1:56" x14ac:dyDescent="0.25">
      <c r="A83" s="366"/>
      <c r="B83" s="369"/>
      <c r="C83" s="122" t="s">
        <v>59</v>
      </c>
      <c r="D83" s="123"/>
      <c r="E83" s="123"/>
      <c r="F83" s="123"/>
      <c r="G83" s="123"/>
      <c r="H83" s="123"/>
      <c r="I83" s="126"/>
      <c r="J83" s="123"/>
      <c r="K83" s="123"/>
      <c r="L83" s="123"/>
      <c r="M83" s="123"/>
      <c r="N83" s="123"/>
      <c r="O83" s="123"/>
      <c r="P83" s="125">
        <f t="shared" si="17"/>
        <v>0</v>
      </c>
      <c r="Q83" s="126"/>
      <c r="R83" s="126"/>
      <c r="S83" s="126"/>
      <c r="T83" s="126"/>
      <c r="U83" s="126"/>
      <c r="V83" s="126"/>
      <c r="W83" s="126"/>
      <c r="X83" s="125">
        <f t="shared" si="16"/>
        <v>0</v>
      </c>
      <c r="Y83" s="123"/>
      <c r="Z83" s="123"/>
      <c r="AA83" s="123"/>
      <c r="AB83" s="123"/>
      <c r="AC83" s="123"/>
      <c r="AD83" s="125">
        <f t="shared" si="18"/>
        <v>0</v>
      </c>
      <c r="AE83" s="123"/>
      <c r="AF83" s="123"/>
      <c r="AG83" s="123"/>
      <c r="AH83" s="123"/>
      <c r="AI83" s="123"/>
      <c r="AJ83" s="123"/>
      <c r="AK83" s="123"/>
      <c r="AL83" s="123"/>
      <c r="AM83" s="125">
        <f t="shared" si="1"/>
        <v>0</v>
      </c>
      <c r="AN83" s="128"/>
    </row>
    <row r="84" spans="1:56" x14ac:dyDescent="0.25">
      <c r="A84" s="366"/>
      <c r="B84" s="369"/>
      <c r="C84" s="122" t="s">
        <v>60</v>
      </c>
      <c r="D84" s="123"/>
      <c r="E84" s="123"/>
      <c r="F84" s="123"/>
      <c r="G84" s="123"/>
      <c r="H84" s="123"/>
      <c r="I84" s="126"/>
      <c r="J84" s="123"/>
      <c r="K84" s="123"/>
      <c r="L84" s="123"/>
      <c r="M84" s="123"/>
      <c r="N84" s="123"/>
      <c r="O84" s="123"/>
      <c r="P84" s="125">
        <f t="shared" si="17"/>
        <v>0</v>
      </c>
      <c r="Q84" s="126"/>
      <c r="R84" s="126"/>
      <c r="S84" s="126"/>
      <c r="T84" s="126"/>
      <c r="U84" s="126"/>
      <c r="V84" s="126"/>
      <c r="W84" s="126"/>
      <c r="X84" s="125">
        <f t="shared" si="16"/>
        <v>0</v>
      </c>
      <c r="Y84" s="123"/>
      <c r="Z84" s="123"/>
      <c r="AA84" s="123"/>
      <c r="AB84" s="123"/>
      <c r="AC84" s="123"/>
      <c r="AD84" s="125">
        <f t="shared" si="18"/>
        <v>0</v>
      </c>
      <c r="AE84" s="123"/>
      <c r="AF84" s="123"/>
      <c r="AG84" s="123"/>
      <c r="AH84" s="123"/>
      <c r="AI84" s="123"/>
      <c r="AJ84" s="123"/>
      <c r="AK84" s="123"/>
      <c r="AL84" s="123"/>
      <c r="AM84" s="125">
        <f t="shared" ref="AM84:AM147" si="20">SUM(AD84,X84)</f>
        <v>0</v>
      </c>
      <c r="AN84" s="128"/>
    </row>
    <row r="85" spans="1:56" x14ac:dyDescent="0.25">
      <c r="A85" s="366"/>
      <c r="B85" s="369"/>
      <c r="C85" s="122" t="s">
        <v>61</v>
      </c>
      <c r="D85" s="123"/>
      <c r="E85" s="123"/>
      <c r="F85" s="123"/>
      <c r="G85" s="123"/>
      <c r="H85" s="123"/>
      <c r="I85" s="126"/>
      <c r="J85" s="123"/>
      <c r="K85" s="123"/>
      <c r="L85" s="123"/>
      <c r="M85" s="123"/>
      <c r="N85" s="123"/>
      <c r="O85" s="123"/>
      <c r="P85" s="125">
        <f t="shared" si="17"/>
        <v>0</v>
      </c>
      <c r="Q85" s="126"/>
      <c r="R85" s="126"/>
      <c r="S85" s="126"/>
      <c r="T85" s="126"/>
      <c r="U85" s="126"/>
      <c r="V85" s="126"/>
      <c r="W85" s="126"/>
      <c r="X85" s="125">
        <f t="shared" si="16"/>
        <v>0</v>
      </c>
      <c r="Y85" s="123"/>
      <c r="Z85" s="123"/>
      <c r="AA85" s="123"/>
      <c r="AB85" s="123"/>
      <c r="AC85" s="123"/>
      <c r="AD85" s="125">
        <f t="shared" si="18"/>
        <v>0</v>
      </c>
      <c r="AE85" s="123"/>
      <c r="AF85" s="123"/>
      <c r="AG85" s="123"/>
      <c r="AH85" s="123"/>
      <c r="AI85" s="123"/>
      <c r="AJ85" s="123"/>
      <c r="AK85" s="123"/>
      <c r="AL85" s="123"/>
      <c r="AM85" s="125">
        <f t="shared" si="20"/>
        <v>0</v>
      </c>
      <c r="AN85" s="128"/>
    </row>
    <row r="86" spans="1:56" x14ac:dyDescent="0.25">
      <c r="A86" s="366"/>
      <c r="B86" s="369"/>
      <c r="C86" s="122" t="s">
        <v>62</v>
      </c>
      <c r="D86" s="123"/>
      <c r="E86" s="123"/>
      <c r="F86" s="123"/>
      <c r="G86" s="123"/>
      <c r="H86" s="123"/>
      <c r="I86" s="126"/>
      <c r="J86" s="123"/>
      <c r="K86" s="123"/>
      <c r="L86" s="123"/>
      <c r="M86" s="123"/>
      <c r="N86" s="123"/>
      <c r="O86" s="123"/>
      <c r="P86" s="125">
        <f t="shared" si="17"/>
        <v>0</v>
      </c>
      <c r="Q86" s="126"/>
      <c r="R86" s="126"/>
      <c r="S86" s="126"/>
      <c r="T86" s="126"/>
      <c r="U86" s="126"/>
      <c r="V86" s="126"/>
      <c r="W86" s="126"/>
      <c r="X86" s="125">
        <f t="shared" si="16"/>
        <v>0</v>
      </c>
      <c r="Y86" s="123"/>
      <c r="Z86" s="123"/>
      <c r="AA86" s="123"/>
      <c r="AB86" s="123"/>
      <c r="AC86" s="123"/>
      <c r="AD86" s="125">
        <f t="shared" si="18"/>
        <v>0</v>
      </c>
      <c r="AE86" s="123"/>
      <c r="AF86" s="123"/>
      <c r="AG86" s="123"/>
      <c r="AH86" s="123"/>
      <c r="AI86" s="123"/>
      <c r="AJ86" s="123"/>
      <c r="AK86" s="123"/>
      <c r="AL86" s="123"/>
      <c r="AM86" s="125">
        <f t="shared" si="20"/>
        <v>0</v>
      </c>
      <c r="AN86" s="128"/>
    </row>
    <row r="87" spans="1:56" x14ac:dyDescent="0.25">
      <c r="A87" s="366"/>
      <c r="B87" s="369"/>
      <c r="C87" s="122" t="s">
        <v>63</v>
      </c>
      <c r="D87" s="129">
        <v>1</v>
      </c>
      <c r="E87" s="123"/>
      <c r="F87" s="123"/>
      <c r="G87" s="123"/>
      <c r="H87" s="129">
        <v>2</v>
      </c>
      <c r="I87" s="129">
        <v>1</v>
      </c>
      <c r="J87" s="123"/>
      <c r="K87" s="123"/>
      <c r="L87" s="123"/>
      <c r="M87" s="123"/>
      <c r="N87" s="123"/>
      <c r="O87" s="123"/>
      <c r="P87" s="125">
        <f t="shared" si="17"/>
        <v>4</v>
      </c>
      <c r="Q87" s="129">
        <f>3+17</f>
        <v>20</v>
      </c>
      <c r="R87" s="123"/>
      <c r="S87" s="123"/>
      <c r="T87" s="123"/>
      <c r="U87" s="123"/>
      <c r="V87" s="129">
        <v>78</v>
      </c>
      <c r="W87" s="123"/>
      <c r="X87" s="125">
        <f t="shared" si="16"/>
        <v>78</v>
      </c>
      <c r="Y87" s="129">
        <f>3+1</f>
        <v>4</v>
      </c>
      <c r="Z87" s="129">
        <v>1</v>
      </c>
      <c r="AA87" s="123"/>
      <c r="AB87" s="123"/>
      <c r="AC87" s="123"/>
      <c r="AD87" s="125">
        <f t="shared" si="18"/>
        <v>5</v>
      </c>
      <c r="AE87" s="129">
        <v>1</v>
      </c>
      <c r="AF87" s="123"/>
      <c r="AG87" s="123"/>
      <c r="AH87" s="123"/>
      <c r="AI87" s="123"/>
      <c r="AJ87" s="123"/>
      <c r="AK87" s="123"/>
      <c r="AL87" s="123"/>
      <c r="AM87" s="125">
        <f t="shared" si="20"/>
        <v>83</v>
      </c>
      <c r="AN87" s="128"/>
    </row>
    <row r="88" spans="1:56" x14ac:dyDescent="0.25">
      <c r="A88" s="366"/>
      <c r="B88" s="369"/>
      <c r="C88" s="122" t="s">
        <v>64</v>
      </c>
      <c r="D88" s="123"/>
      <c r="E88" s="123"/>
      <c r="F88" s="123"/>
      <c r="G88" s="123"/>
      <c r="H88" s="123"/>
      <c r="I88" s="126"/>
      <c r="J88" s="123"/>
      <c r="K88" s="123"/>
      <c r="L88" s="123"/>
      <c r="M88" s="123"/>
      <c r="N88" s="123"/>
      <c r="O88" s="123"/>
      <c r="P88" s="125">
        <f t="shared" si="17"/>
        <v>0</v>
      </c>
      <c r="Q88" s="126"/>
      <c r="R88" s="126"/>
      <c r="S88" s="126"/>
      <c r="T88" s="126"/>
      <c r="U88" s="126"/>
      <c r="V88" s="126"/>
      <c r="W88" s="126"/>
      <c r="X88" s="125">
        <f t="shared" si="16"/>
        <v>0</v>
      </c>
      <c r="Y88" s="123"/>
      <c r="Z88" s="123"/>
      <c r="AA88" s="123"/>
      <c r="AB88" s="123"/>
      <c r="AC88" s="123"/>
      <c r="AD88" s="125">
        <f t="shared" si="18"/>
        <v>0</v>
      </c>
      <c r="AE88" s="123"/>
      <c r="AF88" s="123"/>
      <c r="AG88" s="123"/>
      <c r="AH88" s="123"/>
      <c r="AI88" s="123"/>
      <c r="AJ88" s="123"/>
      <c r="AK88" s="123"/>
      <c r="AL88" s="123"/>
      <c r="AM88" s="125">
        <f t="shared" si="20"/>
        <v>0</v>
      </c>
      <c r="AN88" s="128"/>
    </row>
    <row r="89" spans="1:56" x14ac:dyDescent="0.25">
      <c r="A89" s="366"/>
      <c r="B89" s="369"/>
      <c r="C89" s="140" t="s">
        <v>65</v>
      </c>
      <c r="D89" s="123"/>
      <c r="E89" s="123"/>
      <c r="F89" s="123"/>
      <c r="G89" s="123"/>
      <c r="H89" s="123"/>
      <c r="I89" s="126"/>
      <c r="J89" s="123"/>
      <c r="K89" s="123"/>
      <c r="L89" s="123"/>
      <c r="M89" s="123"/>
      <c r="N89" s="123"/>
      <c r="O89" s="123"/>
      <c r="P89" s="125">
        <f t="shared" si="17"/>
        <v>0</v>
      </c>
      <c r="Q89" s="126"/>
      <c r="R89" s="126"/>
      <c r="S89" s="126"/>
      <c r="T89" s="126"/>
      <c r="U89" s="126"/>
      <c r="V89" s="126"/>
      <c r="W89" s="126"/>
      <c r="X89" s="125">
        <f t="shared" si="16"/>
        <v>0</v>
      </c>
      <c r="Y89" s="123"/>
      <c r="Z89" s="123"/>
      <c r="AA89" s="123"/>
      <c r="AB89" s="123"/>
      <c r="AC89" s="123"/>
      <c r="AD89" s="125">
        <f t="shared" si="18"/>
        <v>0</v>
      </c>
      <c r="AE89" s="123"/>
      <c r="AF89" s="123"/>
      <c r="AG89" s="123"/>
      <c r="AH89" s="123"/>
      <c r="AI89" s="123"/>
      <c r="AJ89" s="123"/>
      <c r="AK89" s="123"/>
      <c r="AL89" s="123"/>
      <c r="AM89" s="125">
        <f t="shared" si="20"/>
        <v>0</v>
      </c>
      <c r="AN89" s="128"/>
    </row>
    <row r="90" spans="1:56" x14ac:dyDescent="0.25">
      <c r="A90" s="366"/>
      <c r="B90" s="369"/>
      <c r="C90" s="147" t="s">
        <v>66</v>
      </c>
      <c r="D90" s="123"/>
      <c r="E90" s="123"/>
      <c r="F90" s="123"/>
      <c r="G90" s="123"/>
      <c r="H90" s="123"/>
      <c r="I90" s="126"/>
      <c r="J90" s="123"/>
      <c r="K90" s="123"/>
      <c r="L90" s="123"/>
      <c r="M90" s="129">
        <v>10</v>
      </c>
      <c r="N90" s="129">
        <v>2</v>
      </c>
      <c r="O90" s="123"/>
      <c r="P90" s="125">
        <f t="shared" si="17"/>
        <v>12</v>
      </c>
      <c r="Q90" s="129">
        <v>1</v>
      </c>
      <c r="R90" s="126"/>
      <c r="S90" s="126"/>
      <c r="T90" s="126"/>
      <c r="U90" s="126"/>
      <c r="V90" s="126"/>
      <c r="W90" s="126"/>
      <c r="X90" s="125">
        <f t="shared" si="16"/>
        <v>0</v>
      </c>
      <c r="Y90" s="123"/>
      <c r="Z90" s="123"/>
      <c r="AA90" s="123"/>
      <c r="AB90" s="123"/>
      <c r="AC90" s="123"/>
      <c r="AD90" s="125">
        <f t="shared" si="18"/>
        <v>0</v>
      </c>
      <c r="AE90" s="123"/>
      <c r="AF90" s="123"/>
      <c r="AG90" s="123"/>
      <c r="AH90" s="129">
        <v>2</v>
      </c>
      <c r="AI90" s="123"/>
      <c r="AJ90" s="123"/>
      <c r="AK90" s="123"/>
      <c r="AL90" s="123"/>
      <c r="AM90" s="125">
        <f t="shared" si="20"/>
        <v>0</v>
      </c>
      <c r="AN90" s="128"/>
    </row>
    <row r="91" spans="1:56" s="217" customFormat="1" x14ac:dyDescent="0.25">
      <c r="A91" s="367"/>
      <c r="B91" s="370"/>
      <c r="C91" s="221" t="s">
        <v>67</v>
      </c>
      <c r="D91" s="214"/>
      <c r="E91" s="214"/>
      <c r="F91" s="214"/>
      <c r="G91" s="214"/>
      <c r="H91" s="214"/>
      <c r="I91" s="222"/>
      <c r="J91" s="214"/>
      <c r="K91" s="214"/>
      <c r="L91" s="223">
        <v>1</v>
      </c>
      <c r="M91" s="214"/>
      <c r="N91" s="214"/>
      <c r="O91" s="214"/>
      <c r="P91" s="215">
        <f t="shared" si="17"/>
        <v>1</v>
      </c>
      <c r="Q91" s="223">
        <v>15315</v>
      </c>
      <c r="R91" s="222"/>
      <c r="S91" s="222"/>
      <c r="T91" s="222"/>
      <c r="U91" s="222"/>
      <c r="V91" s="223">
        <v>52898</v>
      </c>
      <c r="W91" s="222"/>
      <c r="X91" s="215">
        <f t="shared" si="16"/>
        <v>52898</v>
      </c>
      <c r="Y91" s="214"/>
      <c r="Z91" s="214"/>
      <c r="AA91" s="214"/>
      <c r="AB91" s="214"/>
      <c r="AC91" s="214"/>
      <c r="AD91" s="215">
        <f t="shared" si="18"/>
        <v>0</v>
      </c>
      <c r="AE91" s="214"/>
      <c r="AF91" s="214"/>
      <c r="AG91" s="214"/>
      <c r="AH91" s="214"/>
      <c r="AI91" s="214"/>
      <c r="AJ91" s="214"/>
      <c r="AK91" s="214"/>
      <c r="AL91" s="214"/>
      <c r="AM91" s="215">
        <f t="shared" si="20"/>
        <v>52898</v>
      </c>
      <c r="AN91" s="216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24"/>
    </row>
    <row r="92" spans="1:56" s="83" customFormat="1" x14ac:dyDescent="0.25">
      <c r="A92" s="365">
        <v>8</v>
      </c>
      <c r="B92" s="368" t="s">
        <v>24</v>
      </c>
      <c r="C92" s="143" t="s">
        <v>56</v>
      </c>
      <c r="D92" s="176"/>
      <c r="E92" s="208">
        <v>4</v>
      </c>
      <c r="F92" s="176"/>
      <c r="G92" s="176"/>
      <c r="H92" s="176"/>
      <c r="I92" s="207"/>
      <c r="J92" s="176"/>
      <c r="K92" s="176"/>
      <c r="L92" s="176"/>
      <c r="M92" s="176"/>
      <c r="N92" s="176"/>
      <c r="O92" s="176"/>
      <c r="P92" s="209">
        <f t="shared" si="17"/>
        <v>4</v>
      </c>
      <c r="Q92" s="208">
        <v>66</v>
      </c>
      <c r="R92" s="207"/>
      <c r="S92" s="207"/>
      <c r="T92" s="207"/>
      <c r="U92" s="207"/>
      <c r="V92" s="208">
        <v>8</v>
      </c>
      <c r="W92" s="207"/>
      <c r="X92" s="209">
        <f t="shared" si="16"/>
        <v>8</v>
      </c>
      <c r="Y92" s="176"/>
      <c r="Z92" s="176"/>
      <c r="AA92" s="176"/>
      <c r="AB92" s="176"/>
      <c r="AC92" s="176"/>
      <c r="AD92" s="209">
        <f t="shared" si="18"/>
        <v>0</v>
      </c>
      <c r="AE92" s="176"/>
      <c r="AF92" s="176"/>
      <c r="AG92" s="176"/>
      <c r="AH92" s="176"/>
      <c r="AI92" s="176"/>
      <c r="AJ92" s="176"/>
      <c r="AK92" s="176"/>
      <c r="AL92" s="176"/>
      <c r="AM92" s="209">
        <f t="shared" si="20"/>
        <v>8</v>
      </c>
      <c r="AN92" s="219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 s="88"/>
    </row>
    <row r="93" spans="1:56" x14ac:dyDescent="0.25">
      <c r="A93" s="366"/>
      <c r="B93" s="369"/>
      <c r="C93" s="122" t="s">
        <v>57</v>
      </c>
      <c r="D93" s="123"/>
      <c r="E93" s="123"/>
      <c r="F93" s="123"/>
      <c r="G93" s="123"/>
      <c r="H93" s="123"/>
      <c r="I93" s="126"/>
      <c r="J93" s="123"/>
      <c r="K93" s="123"/>
      <c r="L93" s="123"/>
      <c r="M93" s="123"/>
      <c r="N93" s="123"/>
      <c r="O93" s="123"/>
      <c r="P93" s="125">
        <f t="shared" si="17"/>
        <v>0</v>
      </c>
      <c r="Q93" s="126"/>
      <c r="R93" s="126"/>
      <c r="S93" s="126"/>
      <c r="T93" s="126"/>
      <c r="U93" s="126"/>
      <c r="V93" s="126"/>
      <c r="W93" s="126"/>
      <c r="X93" s="125">
        <f t="shared" si="16"/>
        <v>0</v>
      </c>
      <c r="Y93" s="123"/>
      <c r="Z93" s="123"/>
      <c r="AA93" s="123"/>
      <c r="AB93" s="123"/>
      <c r="AC93" s="123"/>
      <c r="AD93" s="125">
        <f t="shared" si="18"/>
        <v>0</v>
      </c>
      <c r="AE93" s="123"/>
      <c r="AF93" s="123">
        <v>0</v>
      </c>
      <c r="AG93" s="123"/>
      <c r="AH93" s="123"/>
      <c r="AI93" s="123"/>
      <c r="AJ93" s="123"/>
      <c r="AK93" s="123"/>
      <c r="AL93" s="123"/>
      <c r="AM93" s="125">
        <f t="shared" si="20"/>
        <v>0</v>
      </c>
      <c r="AN93" s="128"/>
    </row>
    <row r="94" spans="1:56" x14ac:dyDescent="0.25">
      <c r="A94" s="366"/>
      <c r="B94" s="369"/>
      <c r="C94" s="122" t="s">
        <v>58</v>
      </c>
      <c r="D94" s="123"/>
      <c r="E94" s="123"/>
      <c r="F94" s="123"/>
      <c r="G94" s="123"/>
      <c r="H94" s="123"/>
      <c r="I94" s="126"/>
      <c r="J94" s="123"/>
      <c r="K94" s="123"/>
      <c r="L94" s="123"/>
      <c r="M94" s="123"/>
      <c r="N94" s="123"/>
      <c r="O94" s="123"/>
      <c r="P94" s="125">
        <f t="shared" si="17"/>
        <v>0</v>
      </c>
      <c r="Q94" s="126"/>
      <c r="R94" s="126"/>
      <c r="S94" s="126"/>
      <c r="T94" s="126"/>
      <c r="U94" s="126"/>
      <c r="V94" s="126"/>
      <c r="W94" s="126"/>
      <c r="X94" s="125">
        <f t="shared" si="16"/>
        <v>0</v>
      </c>
      <c r="Y94" s="123"/>
      <c r="Z94" s="123"/>
      <c r="AA94" s="123"/>
      <c r="AB94" s="123"/>
      <c r="AC94" s="123"/>
      <c r="AD94" s="125">
        <f t="shared" si="18"/>
        <v>0</v>
      </c>
      <c r="AE94" s="123"/>
      <c r="AF94" s="123"/>
      <c r="AG94" s="123"/>
      <c r="AH94" s="123"/>
      <c r="AI94" s="123"/>
      <c r="AJ94" s="123"/>
      <c r="AK94" s="123"/>
      <c r="AL94" s="123"/>
      <c r="AM94" s="125">
        <f t="shared" si="20"/>
        <v>0</v>
      </c>
      <c r="AN94" s="128"/>
    </row>
    <row r="95" spans="1:56" x14ac:dyDescent="0.25">
      <c r="A95" s="366"/>
      <c r="B95" s="369"/>
      <c r="C95" s="122" t="s">
        <v>59</v>
      </c>
      <c r="D95" s="123"/>
      <c r="E95" s="123"/>
      <c r="F95" s="123"/>
      <c r="G95" s="123"/>
      <c r="H95" s="123"/>
      <c r="I95" s="126"/>
      <c r="J95" s="123"/>
      <c r="K95" s="123"/>
      <c r="L95" s="123"/>
      <c r="M95" s="123"/>
      <c r="N95" s="123"/>
      <c r="O95" s="123"/>
      <c r="P95" s="125">
        <f t="shared" si="17"/>
        <v>0</v>
      </c>
      <c r="Q95" s="126"/>
      <c r="R95" s="126"/>
      <c r="S95" s="126"/>
      <c r="T95" s="126"/>
      <c r="U95" s="126"/>
      <c r="V95" s="126"/>
      <c r="W95" s="126"/>
      <c r="X95" s="125">
        <f t="shared" si="16"/>
        <v>0</v>
      </c>
      <c r="Y95" s="123"/>
      <c r="Z95" s="123"/>
      <c r="AA95" s="123"/>
      <c r="AB95" s="123"/>
      <c r="AC95" s="123"/>
      <c r="AD95" s="125">
        <f t="shared" si="18"/>
        <v>0</v>
      </c>
      <c r="AE95" s="123"/>
      <c r="AF95" s="123"/>
      <c r="AG95" s="123"/>
      <c r="AH95" s="123"/>
      <c r="AI95" s="123"/>
      <c r="AJ95" s="123"/>
      <c r="AK95" s="123"/>
      <c r="AL95" s="123"/>
      <c r="AM95" s="125">
        <f t="shared" si="20"/>
        <v>0</v>
      </c>
      <c r="AN95" s="128"/>
    </row>
    <row r="96" spans="1:56" x14ac:dyDescent="0.25">
      <c r="A96" s="366"/>
      <c r="B96" s="369"/>
      <c r="C96" s="122" t="s">
        <v>60</v>
      </c>
      <c r="D96" s="123"/>
      <c r="E96" s="123"/>
      <c r="F96" s="123"/>
      <c r="G96" s="123"/>
      <c r="H96" s="123"/>
      <c r="I96" s="126"/>
      <c r="J96" s="123"/>
      <c r="K96" s="123"/>
      <c r="L96" s="123"/>
      <c r="M96" s="123"/>
      <c r="N96" s="123"/>
      <c r="O96" s="123"/>
      <c r="P96" s="125">
        <f t="shared" si="17"/>
        <v>0</v>
      </c>
      <c r="Q96" s="126"/>
      <c r="R96" s="126"/>
      <c r="S96" s="126"/>
      <c r="T96" s="126"/>
      <c r="U96" s="126"/>
      <c r="V96" s="126"/>
      <c r="W96" s="126"/>
      <c r="X96" s="125">
        <f t="shared" si="16"/>
        <v>0</v>
      </c>
      <c r="Y96" s="123"/>
      <c r="Z96" s="123"/>
      <c r="AA96" s="123"/>
      <c r="AB96" s="123"/>
      <c r="AC96" s="123"/>
      <c r="AD96" s="125">
        <f t="shared" si="18"/>
        <v>0</v>
      </c>
      <c r="AE96" s="123"/>
      <c r="AF96" s="123"/>
      <c r="AG96" s="123"/>
      <c r="AH96" s="123"/>
      <c r="AI96" s="123"/>
      <c r="AJ96" s="123"/>
      <c r="AK96" s="123"/>
      <c r="AL96" s="123"/>
      <c r="AM96" s="125">
        <f t="shared" si="20"/>
        <v>0</v>
      </c>
      <c r="AN96" s="128"/>
    </row>
    <row r="97" spans="1:56" x14ac:dyDescent="0.25">
      <c r="A97" s="366"/>
      <c r="B97" s="369"/>
      <c r="C97" s="122" t="s">
        <v>61</v>
      </c>
      <c r="D97" s="123"/>
      <c r="E97" s="123"/>
      <c r="F97" s="123"/>
      <c r="G97" s="123"/>
      <c r="H97" s="123"/>
      <c r="I97" s="126"/>
      <c r="J97" s="123"/>
      <c r="K97" s="123"/>
      <c r="L97" s="123"/>
      <c r="M97" s="123"/>
      <c r="N97" s="123"/>
      <c r="O97" s="123"/>
      <c r="P97" s="125">
        <f t="shared" si="17"/>
        <v>0</v>
      </c>
      <c r="Q97" s="126"/>
      <c r="R97" s="126"/>
      <c r="S97" s="126"/>
      <c r="T97" s="126"/>
      <c r="U97" s="126"/>
      <c r="V97" s="126"/>
      <c r="W97" s="126"/>
      <c r="X97" s="125">
        <f t="shared" si="16"/>
        <v>0</v>
      </c>
      <c r="Y97" s="123"/>
      <c r="Z97" s="123"/>
      <c r="AA97" s="123"/>
      <c r="AB97" s="123"/>
      <c r="AC97" s="123"/>
      <c r="AD97" s="125">
        <f t="shared" si="18"/>
        <v>0</v>
      </c>
      <c r="AE97" s="123"/>
      <c r="AF97" s="123"/>
      <c r="AG97" s="123"/>
      <c r="AH97" s="123"/>
      <c r="AI97" s="123"/>
      <c r="AJ97" s="123"/>
      <c r="AK97" s="123"/>
      <c r="AL97" s="123"/>
      <c r="AM97" s="125">
        <f t="shared" si="20"/>
        <v>0</v>
      </c>
      <c r="AN97" s="128"/>
    </row>
    <row r="98" spans="1:56" x14ac:dyDescent="0.25">
      <c r="A98" s="366"/>
      <c r="B98" s="369"/>
      <c r="C98" s="122" t="s">
        <v>62</v>
      </c>
      <c r="D98" s="123"/>
      <c r="E98" s="123"/>
      <c r="F98" s="123"/>
      <c r="G98" s="123"/>
      <c r="H98" s="129">
        <v>2</v>
      </c>
      <c r="I98" s="126"/>
      <c r="J98" s="129">
        <v>2</v>
      </c>
      <c r="K98" s="129">
        <v>3</v>
      </c>
      <c r="L98" s="129">
        <v>3</v>
      </c>
      <c r="M98" s="123"/>
      <c r="N98" s="123"/>
      <c r="O98" s="123"/>
      <c r="P98" s="125">
        <f t="shared" si="17"/>
        <v>10</v>
      </c>
      <c r="Q98" s="129">
        <f>2+2+7+3</f>
        <v>14</v>
      </c>
      <c r="R98" s="129">
        <v>1</v>
      </c>
      <c r="S98" s="126"/>
      <c r="T98" s="126"/>
      <c r="U98" s="126"/>
      <c r="V98" s="155">
        <v>5</v>
      </c>
      <c r="W98" s="126"/>
      <c r="X98" s="125">
        <f t="shared" si="16"/>
        <v>6</v>
      </c>
      <c r="Y98" s="129">
        <f>3+2+4+13</f>
        <v>22</v>
      </c>
      <c r="Z98" s="123"/>
      <c r="AA98" s="123"/>
      <c r="AB98" s="123"/>
      <c r="AC98" s="123"/>
      <c r="AD98" s="125">
        <f t="shared" si="18"/>
        <v>22</v>
      </c>
      <c r="AE98" s="123"/>
      <c r="AF98" s="123"/>
      <c r="AG98" s="123"/>
      <c r="AH98" s="123"/>
      <c r="AI98" s="123"/>
      <c r="AJ98" s="129">
        <v>1</v>
      </c>
      <c r="AK98" s="123"/>
      <c r="AL98" s="123"/>
      <c r="AM98" s="125">
        <f t="shared" si="20"/>
        <v>28</v>
      </c>
      <c r="AN98" s="128"/>
    </row>
    <row r="99" spans="1:56" x14ac:dyDescent="0.25">
      <c r="A99" s="366"/>
      <c r="B99" s="369"/>
      <c r="C99" s="122" t="s">
        <v>63</v>
      </c>
      <c r="D99" s="123"/>
      <c r="E99" s="129">
        <v>7</v>
      </c>
      <c r="F99" s="123"/>
      <c r="G99" s="123"/>
      <c r="H99" s="123"/>
      <c r="I99" s="126"/>
      <c r="J99" s="123"/>
      <c r="K99" s="129">
        <v>3</v>
      </c>
      <c r="L99" s="129">
        <v>3</v>
      </c>
      <c r="M99" s="123"/>
      <c r="N99" s="123"/>
      <c r="O99" s="129">
        <v>1</v>
      </c>
      <c r="P99" s="125">
        <f t="shared" si="17"/>
        <v>14</v>
      </c>
      <c r="Q99" s="129">
        <f>7+5+10</f>
        <v>22</v>
      </c>
      <c r="R99" s="126"/>
      <c r="S99" s="126"/>
      <c r="T99" s="126"/>
      <c r="U99" s="126"/>
      <c r="V99" s="129">
        <v>4</v>
      </c>
      <c r="W99" s="126"/>
      <c r="X99" s="125">
        <f t="shared" si="16"/>
        <v>4</v>
      </c>
      <c r="Y99" s="129">
        <f>8+5+6</f>
        <v>19</v>
      </c>
      <c r="Z99" s="129">
        <v>1</v>
      </c>
      <c r="AA99" s="123"/>
      <c r="AB99" s="123"/>
      <c r="AC99" s="123"/>
      <c r="AD99" s="125">
        <f t="shared" si="18"/>
        <v>20</v>
      </c>
      <c r="AE99" s="123"/>
      <c r="AF99" s="123"/>
      <c r="AG99" s="123"/>
      <c r="AH99" s="123"/>
      <c r="AI99" s="123"/>
      <c r="AJ99" s="123"/>
      <c r="AK99" s="123"/>
      <c r="AL99" s="123"/>
      <c r="AM99" s="125">
        <f t="shared" si="20"/>
        <v>24</v>
      </c>
      <c r="AN99" s="128"/>
    </row>
    <row r="100" spans="1:56" x14ac:dyDescent="0.25">
      <c r="A100" s="366"/>
      <c r="B100" s="369"/>
      <c r="C100" s="122" t="s">
        <v>64</v>
      </c>
      <c r="D100" s="123"/>
      <c r="E100" s="129">
        <v>1</v>
      </c>
      <c r="F100" s="123"/>
      <c r="G100" s="123"/>
      <c r="H100" s="123"/>
      <c r="I100" s="126"/>
      <c r="J100" s="123"/>
      <c r="K100" s="123"/>
      <c r="L100" s="123"/>
      <c r="M100" s="123"/>
      <c r="N100" s="123"/>
      <c r="O100" s="123"/>
      <c r="P100" s="125">
        <f t="shared" si="17"/>
        <v>1</v>
      </c>
      <c r="Q100" s="129">
        <v>4</v>
      </c>
      <c r="R100" s="126"/>
      <c r="S100" s="126"/>
      <c r="T100" s="126"/>
      <c r="U100" s="126"/>
      <c r="V100" s="126"/>
      <c r="W100" s="126"/>
      <c r="X100" s="125">
        <f t="shared" si="16"/>
        <v>0</v>
      </c>
      <c r="Y100" s="129">
        <v>4</v>
      </c>
      <c r="Z100" s="123"/>
      <c r="AA100" s="123"/>
      <c r="AB100" s="123"/>
      <c r="AC100" s="123"/>
      <c r="AD100" s="125">
        <f t="shared" si="18"/>
        <v>4</v>
      </c>
      <c r="AE100" s="123"/>
      <c r="AF100" s="123"/>
      <c r="AG100" s="123"/>
      <c r="AH100" s="123"/>
      <c r="AI100" s="123"/>
      <c r="AJ100" s="123"/>
      <c r="AK100" s="123"/>
      <c r="AL100" s="123"/>
      <c r="AM100" s="125">
        <f t="shared" si="20"/>
        <v>4</v>
      </c>
      <c r="AN100" s="128"/>
    </row>
    <row r="101" spans="1:56" x14ac:dyDescent="0.25">
      <c r="A101" s="366"/>
      <c r="B101" s="369"/>
      <c r="C101" s="140" t="s">
        <v>65</v>
      </c>
      <c r="D101" s="123"/>
      <c r="E101" s="123"/>
      <c r="F101" s="123"/>
      <c r="G101" s="123"/>
      <c r="H101" s="123"/>
      <c r="I101" s="126"/>
      <c r="J101" s="123"/>
      <c r="K101" s="123"/>
      <c r="L101" s="123"/>
      <c r="M101" s="123"/>
      <c r="N101" s="123"/>
      <c r="O101" s="123"/>
      <c r="P101" s="125">
        <f t="shared" si="17"/>
        <v>0</v>
      </c>
      <c r="Q101" s="126"/>
      <c r="R101" s="126"/>
      <c r="S101" s="126"/>
      <c r="T101" s="126"/>
      <c r="U101" s="126"/>
      <c r="V101" s="126"/>
      <c r="W101" s="126"/>
      <c r="X101" s="125">
        <f t="shared" si="16"/>
        <v>0</v>
      </c>
      <c r="Y101" s="123"/>
      <c r="Z101" s="123"/>
      <c r="AA101" s="123"/>
      <c r="AB101" s="123"/>
      <c r="AC101" s="123"/>
      <c r="AD101" s="125">
        <f t="shared" si="18"/>
        <v>0</v>
      </c>
      <c r="AE101" s="123"/>
      <c r="AF101" s="123"/>
      <c r="AG101" s="123"/>
      <c r="AH101" s="123"/>
      <c r="AI101" s="123"/>
      <c r="AJ101" s="123"/>
      <c r="AK101" s="123"/>
      <c r="AL101" s="123"/>
      <c r="AM101" s="125">
        <f t="shared" si="20"/>
        <v>0</v>
      </c>
      <c r="AN101" s="128"/>
    </row>
    <row r="102" spans="1:56" x14ac:dyDescent="0.25">
      <c r="A102" s="366"/>
      <c r="B102" s="369"/>
      <c r="C102" s="147" t="s">
        <v>66</v>
      </c>
      <c r="D102" s="123"/>
      <c r="E102" s="123"/>
      <c r="F102" s="123"/>
      <c r="G102" s="123"/>
      <c r="H102" s="123"/>
      <c r="I102" s="126"/>
      <c r="J102" s="123"/>
      <c r="K102" s="123"/>
      <c r="L102" s="123"/>
      <c r="M102" s="123"/>
      <c r="N102" s="123"/>
      <c r="O102" s="123"/>
      <c r="P102" s="125">
        <f t="shared" si="17"/>
        <v>0</v>
      </c>
      <c r="Q102" s="126"/>
      <c r="R102" s="126"/>
      <c r="S102" s="126"/>
      <c r="T102" s="126"/>
      <c r="U102" s="126"/>
      <c r="V102" s="126"/>
      <c r="W102" s="126"/>
      <c r="X102" s="125">
        <f t="shared" si="16"/>
        <v>0</v>
      </c>
      <c r="Y102" s="123"/>
      <c r="Z102" s="123"/>
      <c r="AA102" s="123"/>
      <c r="AB102" s="123"/>
      <c r="AC102" s="123"/>
      <c r="AD102" s="125">
        <f t="shared" si="18"/>
        <v>0</v>
      </c>
      <c r="AE102" s="123"/>
      <c r="AF102" s="123"/>
      <c r="AG102" s="123"/>
      <c r="AH102" s="123"/>
      <c r="AI102" s="123"/>
      <c r="AJ102" s="123"/>
      <c r="AK102" s="123"/>
      <c r="AL102" s="123"/>
      <c r="AM102" s="125">
        <f t="shared" si="20"/>
        <v>0</v>
      </c>
      <c r="AN102" s="128"/>
    </row>
    <row r="103" spans="1:56" s="217" customFormat="1" x14ac:dyDescent="0.25">
      <c r="A103" s="367"/>
      <c r="B103" s="370"/>
      <c r="C103" s="221" t="s">
        <v>67</v>
      </c>
      <c r="D103" s="214"/>
      <c r="E103" s="214"/>
      <c r="F103" s="214"/>
      <c r="G103" s="214"/>
      <c r="H103" s="214"/>
      <c r="I103" s="222"/>
      <c r="J103" s="214"/>
      <c r="K103" s="214"/>
      <c r="L103" s="223">
        <v>1</v>
      </c>
      <c r="M103" s="223">
        <v>2</v>
      </c>
      <c r="N103" s="214"/>
      <c r="O103" s="214"/>
      <c r="P103" s="215">
        <f t="shared" si="17"/>
        <v>3</v>
      </c>
      <c r="Q103" s="222"/>
      <c r="R103" s="222"/>
      <c r="S103" s="222"/>
      <c r="T103" s="222"/>
      <c r="U103" s="222"/>
      <c r="V103" s="223">
        <f>24582+33814</f>
        <v>58396</v>
      </c>
      <c r="W103" s="222"/>
      <c r="X103" s="215">
        <f t="shared" si="16"/>
        <v>58396</v>
      </c>
      <c r="Y103" s="214"/>
      <c r="Z103" s="214"/>
      <c r="AA103" s="214"/>
      <c r="AB103" s="214"/>
      <c r="AC103" s="214"/>
      <c r="AD103" s="215">
        <f t="shared" si="18"/>
        <v>0</v>
      </c>
      <c r="AE103" s="214"/>
      <c r="AF103" s="223">
        <v>4820</v>
      </c>
      <c r="AG103" s="214"/>
      <c r="AH103" s="214"/>
      <c r="AI103" s="214"/>
      <c r="AJ103" s="214"/>
      <c r="AK103" s="214"/>
      <c r="AL103" s="214"/>
      <c r="AM103" s="215">
        <f t="shared" si="20"/>
        <v>58396</v>
      </c>
      <c r="AN103" s="216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24"/>
    </row>
    <row r="104" spans="1:56" s="83" customFormat="1" x14ac:dyDescent="0.25">
      <c r="A104" s="365">
        <v>9</v>
      </c>
      <c r="B104" s="368" t="s">
        <v>25</v>
      </c>
      <c r="C104" s="143" t="s">
        <v>56</v>
      </c>
      <c r="D104" s="176"/>
      <c r="E104" s="176"/>
      <c r="F104" s="176"/>
      <c r="G104" s="176"/>
      <c r="H104" s="176"/>
      <c r="I104" s="207"/>
      <c r="J104" s="176"/>
      <c r="K104" s="176"/>
      <c r="L104" s="176"/>
      <c r="M104" s="176"/>
      <c r="N104" s="176"/>
      <c r="O104" s="176"/>
      <c r="P104" s="209">
        <f t="shared" si="17"/>
        <v>0</v>
      </c>
      <c r="Q104" s="207"/>
      <c r="R104" s="207"/>
      <c r="S104" s="207"/>
      <c r="T104" s="207"/>
      <c r="U104" s="207"/>
      <c r="V104" s="207"/>
      <c r="W104" s="207"/>
      <c r="X104" s="209">
        <f t="shared" si="16"/>
        <v>0</v>
      </c>
      <c r="Y104" s="176"/>
      <c r="Z104" s="176"/>
      <c r="AA104" s="176"/>
      <c r="AB104" s="176"/>
      <c r="AC104" s="176"/>
      <c r="AD104" s="209">
        <f t="shared" si="18"/>
        <v>0</v>
      </c>
      <c r="AE104" s="176"/>
      <c r="AF104" s="176"/>
      <c r="AG104" s="176"/>
      <c r="AH104" s="176"/>
      <c r="AI104" s="176"/>
      <c r="AJ104" s="176"/>
      <c r="AK104" s="176"/>
      <c r="AL104" s="176"/>
      <c r="AM104" s="209">
        <f t="shared" si="20"/>
        <v>0</v>
      </c>
      <c r="AN104" s="219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 s="88"/>
    </row>
    <row r="105" spans="1:56" x14ac:dyDescent="0.25">
      <c r="A105" s="366"/>
      <c r="B105" s="369"/>
      <c r="C105" s="122" t="s">
        <v>57</v>
      </c>
      <c r="D105" s="123"/>
      <c r="E105" s="123"/>
      <c r="F105" s="123"/>
      <c r="G105" s="123"/>
      <c r="H105" s="123"/>
      <c r="I105" s="126"/>
      <c r="J105" s="123"/>
      <c r="K105" s="123"/>
      <c r="L105" s="123"/>
      <c r="M105" s="123"/>
      <c r="N105" s="123"/>
      <c r="O105" s="123"/>
      <c r="P105" s="125">
        <f t="shared" si="17"/>
        <v>0</v>
      </c>
      <c r="Q105" s="126"/>
      <c r="R105" s="126"/>
      <c r="S105" s="126"/>
      <c r="T105" s="126"/>
      <c r="U105" s="126"/>
      <c r="V105" s="126"/>
      <c r="W105" s="126"/>
      <c r="X105" s="125">
        <f t="shared" si="16"/>
        <v>0</v>
      </c>
      <c r="Y105" s="123"/>
      <c r="Z105" s="123"/>
      <c r="AA105" s="123"/>
      <c r="AB105" s="123"/>
      <c r="AC105" s="123"/>
      <c r="AD105" s="125">
        <f t="shared" si="18"/>
        <v>0</v>
      </c>
      <c r="AE105" s="123"/>
      <c r="AF105" s="123">
        <v>0</v>
      </c>
      <c r="AG105" s="123"/>
      <c r="AH105" s="123"/>
      <c r="AI105" s="123"/>
      <c r="AJ105" s="123"/>
      <c r="AK105" s="123"/>
      <c r="AL105" s="123"/>
      <c r="AM105" s="125">
        <f t="shared" si="20"/>
        <v>0</v>
      </c>
      <c r="AN105" s="128"/>
    </row>
    <row r="106" spans="1:56" x14ac:dyDescent="0.25">
      <c r="A106" s="366"/>
      <c r="B106" s="369"/>
      <c r="C106" s="122" t="s">
        <v>58</v>
      </c>
      <c r="D106" s="123"/>
      <c r="E106" s="123"/>
      <c r="F106" s="123"/>
      <c r="G106" s="123"/>
      <c r="H106" s="123"/>
      <c r="I106" s="126"/>
      <c r="J106" s="123"/>
      <c r="K106" s="123"/>
      <c r="L106" s="123"/>
      <c r="M106" s="123"/>
      <c r="N106" s="129">
        <v>1</v>
      </c>
      <c r="O106" s="123"/>
      <c r="P106" s="125">
        <f t="shared" si="17"/>
        <v>1</v>
      </c>
      <c r="Q106" s="126"/>
      <c r="R106" s="126"/>
      <c r="S106" s="126"/>
      <c r="T106" s="126"/>
      <c r="U106" s="126"/>
      <c r="V106" s="126"/>
      <c r="W106" s="126"/>
      <c r="X106" s="125">
        <f t="shared" si="16"/>
        <v>0</v>
      </c>
      <c r="Y106" s="123"/>
      <c r="Z106" s="123"/>
      <c r="AA106" s="123"/>
      <c r="AB106" s="123"/>
      <c r="AC106" s="123"/>
      <c r="AD106" s="125">
        <f t="shared" si="18"/>
        <v>0</v>
      </c>
      <c r="AE106" s="123"/>
      <c r="AF106" s="123"/>
      <c r="AG106" s="123"/>
      <c r="AH106" s="123"/>
      <c r="AI106" s="123"/>
      <c r="AJ106" s="123"/>
      <c r="AK106" s="123"/>
      <c r="AL106" s="123"/>
      <c r="AM106" s="125">
        <f t="shared" si="20"/>
        <v>0</v>
      </c>
      <c r="AN106" s="128"/>
    </row>
    <row r="107" spans="1:56" x14ac:dyDescent="0.25">
      <c r="A107" s="366"/>
      <c r="B107" s="369"/>
      <c r="C107" s="122" t="s">
        <v>59</v>
      </c>
      <c r="D107" s="123"/>
      <c r="E107" s="123"/>
      <c r="F107" s="123" t="s">
        <v>186</v>
      </c>
      <c r="G107" s="123"/>
      <c r="H107" s="123"/>
      <c r="I107" s="126"/>
      <c r="J107" s="123"/>
      <c r="K107" s="123"/>
      <c r="L107" s="123"/>
      <c r="M107" s="123"/>
      <c r="N107" s="123"/>
      <c r="O107" s="123"/>
      <c r="P107" s="125">
        <f t="shared" si="17"/>
        <v>0</v>
      </c>
      <c r="Q107" s="126"/>
      <c r="R107" s="126"/>
      <c r="S107" s="126"/>
      <c r="T107" s="126"/>
      <c r="U107" s="126"/>
      <c r="V107" s="126"/>
      <c r="W107" s="126"/>
      <c r="X107" s="125">
        <f t="shared" si="16"/>
        <v>0</v>
      </c>
      <c r="Y107" s="123"/>
      <c r="Z107" s="123"/>
      <c r="AA107" s="123"/>
      <c r="AB107" s="123"/>
      <c r="AC107" s="123"/>
      <c r="AD107" s="125">
        <f t="shared" si="18"/>
        <v>0</v>
      </c>
      <c r="AE107" s="123"/>
      <c r="AF107" s="123"/>
      <c r="AG107" s="123"/>
      <c r="AH107" s="123"/>
      <c r="AI107" s="123"/>
      <c r="AJ107" s="123"/>
      <c r="AK107" s="123"/>
      <c r="AL107" s="123"/>
      <c r="AM107" s="125">
        <f t="shared" si="20"/>
        <v>0</v>
      </c>
      <c r="AN107" s="128"/>
    </row>
    <row r="108" spans="1:56" x14ac:dyDescent="0.25">
      <c r="A108" s="366"/>
      <c r="B108" s="369"/>
      <c r="C108" s="122" t="s">
        <v>60</v>
      </c>
      <c r="D108" s="123"/>
      <c r="E108" s="123"/>
      <c r="F108" s="123"/>
      <c r="G108" s="123"/>
      <c r="H108" s="123"/>
      <c r="I108" s="126"/>
      <c r="J108" s="123"/>
      <c r="K108" s="123"/>
      <c r="L108" s="123"/>
      <c r="M108" s="123"/>
      <c r="N108" s="123"/>
      <c r="O108" s="123"/>
      <c r="P108" s="125">
        <f t="shared" si="17"/>
        <v>0</v>
      </c>
      <c r="Q108" s="126"/>
      <c r="R108" s="126"/>
      <c r="S108" s="126"/>
      <c r="T108" s="126"/>
      <c r="U108" s="126"/>
      <c r="V108" s="126"/>
      <c r="W108" s="126"/>
      <c r="X108" s="125">
        <f t="shared" si="16"/>
        <v>0</v>
      </c>
      <c r="Y108" s="123"/>
      <c r="Z108" s="123"/>
      <c r="AA108" s="123"/>
      <c r="AB108" s="123"/>
      <c r="AC108" s="123"/>
      <c r="AD108" s="125">
        <f t="shared" si="18"/>
        <v>0</v>
      </c>
      <c r="AE108" s="123"/>
      <c r="AF108" s="123"/>
      <c r="AG108" s="123"/>
      <c r="AH108" s="123"/>
      <c r="AI108" s="123"/>
      <c r="AJ108" s="123"/>
      <c r="AK108" s="123"/>
      <c r="AL108" s="123"/>
      <c r="AM108" s="125">
        <f t="shared" si="20"/>
        <v>0</v>
      </c>
      <c r="AN108" s="128"/>
    </row>
    <row r="109" spans="1:56" x14ac:dyDescent="0.25">
      <c r="A109" s="366"/>
      <c r="B109" s="369"/>
      <c r="C109" s="122" t="s">
        <v>61</v>
      </c>
      <c r="D109" s="123"/>
      <c r="E109" s="123"/>
      <c r="F109" s="123"/>
      <c r="G109" s="123"/>
      <c r="H109" s="123"/>
      <c r="I109" s="126"/>
      <c r="J109" s="123"/>
      <c r="K109" s="123"/>
      <c r="L109" s="123"/>
      <c r="M109" s="123"/>
      <c r="N109" s="123"/>
      <c r="O109" s="123"/>
      <c r="P109" s="125">
        <f t="shared" si="17"/>
        <v>0</v>
      </c>
      <c r="Q109" s="126"/>
      <c r="R109" s="126"/>
      <c r="S109" s="126"/>
      <c r="T109" s="126"/>
      <c r="U109" s="126"/>
      <c r="V109" s="126"/>
      <c r="W109" s="126"/>
      <c r="X109" s="125">
        <f t="shared" si="16"/>
        <v>0</v>
      </c>
      <c r="Y109" s="123"/>
      <c r="Z109" s="123"/>
      <c r="AA109" s="123"/>
      <c r="AB109" s="123"/>
      <c r="AC109" s="123"/>
      <c r="AD109" s="125">
        <f t="shared" si="18"/>
        <v>0</v>
      </c>
      <c r="AE109" s="123"/>
      <c r="AF109" s="123"/>
      <c r="AG109" s="123"/>
      <c r="AH109" s="123"/>
      <c r="AI109" s="123"/>
      <c r="AJ109" s="123"/>
      <c r="AK109" s="123"/>
      <c r="AL109" s="123"/>
      <c r="AM109" s="125">
        <f t="shared" si="20"/>
        <v>0</v>
      </c>
      <c r="AN109" s="128"/>
    </row>
    <row r="110" spans="1:56" x14ac:dyDescent="0.25">
      <c r="A110" s="366"/>
      <c r="B110" s="369"/>
      <c r="C110" s="122" t="s">
        <v>62</v>
      </c>
      <c r="D110" s="129">
        <v>1</v>
      </c>
      <c r="E110" s="123"/>
      <c r="F110" s="123"/>
      <c r="G110" s="123"/>
      <c r="H110" s="129">
        <v>3</v>
      </c>
      <c r="I110" s="129">
        <v>3</v>
      </c>
      <c r="J110" s="123"/>
      <c r="K110" s="129">
        <v>3</v>
      </c>
      <c r="L110" s="129">
        <v>4</v>
      </c>
      <c r="M110" s="129">
        <v>3</v>
      </c>
      <c r="N110" s="129">
        <v>2</v>
      </c>
      <c r="O110" s="123"/>
      <c r="P110" s="125">
        <f t="shared" si="17"/>
        <v>19</v>
      </c>
      <c r="Q110" s="129">
        <f>3+2+4+7+2</f>
        <v>18</v>
      </c>
      <c r="R110" s="123"/>
      <c r="S110" s="129">
        <f>1+2+2</f>
        <v>5</v>
      </c>
      <c r="T110" s="123"/>
      <c r="U110" s="123"/>
      <c r="V110" s="129">
        <f>1+1</f>
        <v>2</v>
      </c>
      <c r="W110" s="123"/>
      <c r="X110" s="125">
        <f t="shared" si="16"/>
        <v>7</v>
      </c>
      <c r="Y110" s="129">
        <f>1+4+2+4+7+4+2</f>
        <v>24</v>
      </c>
      <c r="Z110" s="123"/>
      <c r="AA110" s="123"/>
      <c r="AB110" s="123"/>
      <c r="AC110" s="123"/>
      <c r="AD110" s="125">
        <f t="shared" si="18"/>
        <v>24</v>
      </c>
      <c r="AE110" s="123"/>
      <c r="AF110" s="123"/>
      <c r="AG110" s="123"/>
      <c r="AH110" s="123"/>
      <c r="AI110" s="123"/>
      <c r="AJ110" s="123"/>
      <c r="AK110" s="123"/>
      <c r="AL110" s="123"/>
      <c r="AM110" s="125">
        <f t="shared" si="20"/>
        <v>31</v>
      </c>
      <c r="AN110" s="138">
        <f>200000000+200000000+30000000+250000000+50000000+275000000+300000000</f>
        <v>1305000000</v>
      </c>
    </row>
    <row r="111" spans="1:56" x14ac:dyDescent="0.25">
      <c r="A111" s="366"/>
      <c r="B111" s="369"/>
      <c r="C111" s="122" t="s">
        <v>63</v>
      </c>
      <c r="D111" s="123"/>
      <c r="E111" s="129">
        <v>4</v>
      </c>
      <c r="F111" s="129">
        <v>2</v>
      </c>
      <c r="G111" s="123"/>
      <c r="H111" s="123"/>
      <c r="I111" s="129">
        <v>2</v>
      </c>
      <c r="J111" s="123"/>
      <c r="K111" s="129">
        <v>9</v>
      </c>
      <c r="L111" s="129">
        <v>6</v>
      </c>
      <c r="M111" s="123"/>
      <c r="N111" s="129">
        <v>2</v>
      </c>
      <c r="O111" s="129">
        <v>1</v>
      </c>
      <c r="P111" s="125">
        <f t="shared" si="17"/>
        <v>26</v>
      </c>
      <c r="Q111" s="129">
        <f>3+3+2+1</f>
        <v>9</v>
      </c>
      <c r="R111" s="126"/>
      <c r="S111" s="126"/>
      <c r="T111" s="126"/>
      <c r="U111" s="126"/>
      <c r="V111" s="129">
        <f>1+3+73</f>
        <v>77</v>
      </c>
      <c r="W111" s="126"/>
      <c r="X111" s="125">
        <f t="shared" si="16"/>
        <v>77</v>
      </c>
      <c r="Y111" s="129">
        <f>10+3+76+27+1</f>
        <v>117</v>
      </c>
      <c r="Z111" s="129">
        <v>1</v>
      </c>
      <c r="AA111" s="129">
        <v>1</v>
      </c>
      <c r="AB111" s="123"/>
      <c r="AC111" s="123"/>
      <c r="AD111" s="125">
        <f t="shared" si="18"/>
        <v>119</v>
      </c>
      <c r="AE111" s="123"/>
      <c r="AF111" s="123"/>
      <c r="AG111" s="123"/>
      <c r="AH111" s="123"/>
      <c r="AI111" s="123"/>
      <c r="AJ111" s="123"/>
      <c r="AK111" s="123"/>
      <c r="AL111" s="123"/>
      <c r="AM111" s="125">
        <f t="shared" si="20"/>
        <v>196</v>
      </c>
      <c r="AN111" s="138">
        <f>19500000+15000000+1500000</f>
        <v>36000000</v>
      </c>
    </row>
    <row r="112" spans="1:56" x14ac:dyDescent="0.25">
      <c r="A112" s="366"/>
      <c r="B112" s="369"/>
      <c r="C112" s="122" t="s">
        <v>64</v>
      </c>
      <c r="D112" s="123"/>
      <c r="E112" s="129">
        <v>7</v>
      </c>
      <c r="F112" s="123"/>
      <c r="G112" s="123"/>
      <c r="H112" s="123"/>
      <c r="I112" s="126"/>
      <c r="J112" s="123"/>
      <c r="K112" s="123"/>
      <c r="L112" s="123"/>
      <c r="M112" s="129">
        <v>1</v>
      </c>
      <c r="N112" s="123"/>
      <c r="O112" s="123"/>
      <c r="P112" s="125">
        <f t="shared" si="17"/>
        <v>8</v>
      </c>
      <c r="Q112" s="129">
        <v>6</v>
      </c>
      <c r="R112" s="126"/>
      <c r="S112" s="126"/>
      <c r="T112" s="126"/>
      <c r="U112" s="126"/>
      <c r="V112" s="129">
        <v>1</v>
      </c>
      <c r="W112" s="126"/>
      <c r="X112" s="125">
        <f t="shared" si="16"/>
        <v>1</v>
      </c>
      <c r="Y112" s="129">
        <f>76+1</f>
        <v>77</v>
      </c>
      <c r="Z112" s="123"/>
      <c r="AA112" s="123"/>
      <c r="AB112" s="123"/>
      <c r="AC112" s="123"/>
      <c r="AD112" s="125">
        <f t="shared" si="18"/>
        <v>77</v>
      </c>
      <c r="AE112" s="123"/>
      <c r="AF112" s="123"/>
      <c r="AG112" s="123"/>
      <c r="AH112" s="123"/>
      <c r="AI112" s="123"/>
      <c r="AJ112" s="123"/>
      <c r="AK112" s="123"/>
      <c r="AL112" s="123"/>
      <c r="AM112" s="125">
        <f t="shared" si="20"/>
        <v>78</v>
      </c>
      <c r="AN112" s="138">
        <v>5000000</v>
      </c>
    </row>
    <row r="113" spans="1:56" x14ac:dyDescent="0.25">
      <c r="A113" s="366"/>
      <c r="B113" s="369"/>
      <c r="C113" s="140" t="s">
        <v>65</v>
      </c>
      <c r="D113" s="123"/>
      <c r="E113" s="123"/>
      <c r="F113" s="123"/>
      <c r="G113" s="123"/>
      <c r="H113" s="123"/>
      <c r="I113" s="126"/>
      <c r="J113" s="123"/>
      <c r="K113" s="123"/>
      <c r="L113" s="123"/>
      <c r="M113" s="123"/>
      <c r="N113" s="123"/>
      <c r="O113" s="123"/>
      <c r="P113" s="125">
        <f t="shared" si="17"/>
        <v>0</v>
      </c>
      <c r="Q113" s="126"/>
      <c r="R113" s="126"/>
      <c r="S113" s="126"/>
      <c r="T113" s="126"/>
      <c r="U113" s="126"/>
      <c r="V113" s="126"/>
      <c r="W113" s="126"/>
      <c r="X113" s="125">
        <f t="shared" si="16"/>
        <v>0</v>
      </c>
      <c r="Y113" s="123"/>
      <c r="Z113" s="123"/>
      <c r="AA113" s="123"/>
      <c r="AB113" s="123"/>
      <c r="AC113" s="123"/>
      <c r="AD113" s="125">
        <f t="shared" si="18"/>
        <v>0</v>
      </c>
      <c r="AE113" s="123"/>
      <c r="AF113" s="123"/>
      <c r="AG113" s="123"/>
      <c r="AH113" s="123"/>
      <c r="AI113" s="123"/>
      <c r="AJ113" s="123"/>
      <c r="AK113" s="123"/>
      <c r="AL113" s="123"/>
      <c r="AM113" s="125">
        <f t="shared" si="20"/>
        <v>0</v>
      </c>
      <c r="AN113" s="128"/>
    </row>
    <row r="114" spans="1:56" x14ac:dyDescent="0.25">
      <c r="A114" s="366"/>
      <c r="B114" s="369"/>
      <c r="C114" s="147" t="s">
        <v>66</v>
      </c>
      <c r="D114" s="123"/>
      <c r="E114" s="123"/>
      <c r="F114" s="123"/>
      <c r="G114" s="123"/>
      <c r="H114" s="123"/>
      <c r="I114" s="126"/>
      <c r="J114" s="123"/>
      <c r="K114" s="123"/>
      <c r="L114" s="123"/>
      <c r="M114" s="123"/>
      <c r="N114" s="123"/>
      <c r="O114" s="123"/>
      <c r="P114" s="125">
        <f t="shared" si="17"/>
        <v>0</v>
      </c>
      <c r="Q114" s="126"/>
      <c r="R114" s="126"/>
      <c r="S114" s="126"/>
      <c r="T114" s="126"/>
      <c r="U114" s="126"/>
      <c r="V114" s="126"/>
      <c r="W114" s="126"/>
      <c r="X114" s="125">
        <f t="shared" si="16"/>
        <v>0</v>
      </c>
      <c r="Y114" s="123"/>
      <c r="Z114" s="123"/>
      <c r="AA114" s="123"/>
      <c r="AB114" s="123"/>
      <c r="AC114" s="123"/>
      <c r="AD114" s="125">
        <f t="shared" si="18"/>
        <v>0</v>
      </c>
      <c r="AE114" s="123"/>
      <c r="AF114" s="123"/>
      <c r="AG114" s="123"/>
      <c r="AH114" s="123"/>
      <c r="AI114" s="123"/>
      <c r="AJ114" s="123"/>
      <c r="AK114" s="123"/>
      <c r="AL114" s="123"/>
      <c r="AM114" s="125">
        <f t="shared" si="20"/>
        <v>0</v>
      </c>
      <c r="AN114" s="128"/>
    </row>
    <row r="115" spans="1:56" s="218" customFormat="1" x14ac:dyDescent="0.25">
      <c r="A115" s="367"/>
      <c r="B115" s="370"/>
      <c r="C115" s="221" t="s">
        <v>67</v>
      </c>
      <c r="D115" s="214"/>
      <c r="E115" s="214"/>
      <c r="F115" s="214"/>
      <c r="G115" s="214"/>
      <c r="H115" s="214"/>
      <c r="I115" s="222"/>
      <c r="J115" s="214"/>
      <c r="K115" s="214"/>
      <c r="L115" s="214"/>
      <c r="M115" s="214"/>
      <c r="N115" s="214"/>
      <c r="O115" s="214"/>
      <c r="P115" s="215">
        <f t="shared" si="17"/>
        <v>0</v>
      </c>
      <c r="Q115" s="222"/>
      <c r="R115" s="222"/>
      <c r="S115" s="222"/>
      <c r="T115" s="222"/>
      <c r="U115" s="222"/>
      <c r="V115" s="222"/>
      <c r="W115" s="222"/>
      <c r="X115" s="215">
        <f t="shared" si="16"/>
        <v>0</v>
      </c>
      <c r="Y115" s="214"/>
      <c r="Z115" s="214"/>
      <c r="AA115" s="214"/>
      <c r="AB115" s="214"/>
      <c r="AC115" s="214"/>
      <c r="AD115" s="215">
        <f t="shared" si="18"/>
        <v>0</v>
      </c>
      <c r="AE115" s="214"/>
      <c r="AF115" s="214"/>
      <c r="AG115" s="214"/>
      <c r="AH115" s="214"/>
      <c r="AI115" s="214"/>
      <c r="AJ115" s="214"/>
      <c r="AK115" s="214"/>
      <c r="AL115" s="214"/>
      <c r="AM115" s="215">
        <f t="shared" si="20"/>
        <v>0</v>
      </c>
      <c r="AN115" s="216"/>
      <c r="AO115" s="217"/>
      <c r="BD115" s="224"/>
    </row>
    <row r="116" spans="1:56" x14ac:dyDescent="0.25">
      <c r="A116" s="365">
        <v>10</v>
      </c>
      <c r="B116" s="368" t="s">
        <v>26</v>
      </c>
      <c r="C116" s="143" t="s">
        <v>56</v>
      </c>
      <c r="D116" s="176"/>
      <c r="E116" s="208">
        <v>2</v>
      </c>
      <c r="F116" s="176"/>
      <c r="G116" s="176"/>
      <c r="H116" s="176"/>
      <c r="I116" s="207"/>
      <c r="J116" s="176"/>
      <c r="K116" s="176"/>
      <c r="L116" s="176"/>
      <c r="M116" s="176"/>
      <c r="N116" s="176"/>
      <c r="O116" s="176"/>
      <c r="P116" s="209">
        <f t="shared" si="17"/>
        <v>2</v>
      </c>
      <c r="Q116" s="208">
        <v>1311</v>
      </c>
      <c r="R116" s="207"/>
      <c r="S116" s="207"/>
      <c r="T116" s="207"/>
      <c r="U116" s="207"/>
      <c r="V116" s="208">
        <v>3373</v>
      </c>
      <c r="W116" s="207"/>
      <c r="X116" s="209">
        <f t="shared" si="16"/>
        <v>3373</v>
      </c>
      <c r="Y116" s="208">
        <v>269</v>
      </c>
      <c r="Z116" s="208">
        <v>1</v>
      </c>
      <c r="AA116" s="208">
        <v>1</v>
      </c>
      <c r="AB116" s="208">
        <v>2</v>
      </c>
      <c r="AC116" s="208">
        <v>2</v>
      </c>
      <c r="AD116" s="209">
        <f t="shared" si="18"/>
        <v>275</v>
      </c>
      <c r="AE116" s="176"/>
      <c r="AF116" s="176"/>
      <c r="AG116" s="176"/>
      <c r="AH116" s="176"/>
      <c r="AI116" s="176"/>
      <c r="AJ116" s="176"/>
      <c r="AK116" s="176"/>
      <c r="AL116" s="176"/>
      <c r="AM116" s="209">
        <f t="shared" si="20"/>
        <v>3648</v>
      </c>
      <c r="AN116" s="219"/>
    </row>
    <row r="117" spans="1:56" x14ac:dyDescent="0.25">
      <c r="A117" s="366"/>
      <c r="B117" s="369"/>
      <c r="C117" s="122" t="s">
        <v>57</v>
      </c>
      <c r="D117" s="123"/>
      <c r="E117" s="123"/>
      <c r="F117" s="123"/>
      <c r="G117" s="123"/>
      <c r="H117" s="123"/>
      <c r="I117" s="126"/>
      <c r="J117" s="123"/>
      <c r="K117" s="123"/>
      <c r="L117" s="123"/>
      <c r="M117" s="123"/>
      <c r="N117" s="123"/>
      <c r="O117" s="123"/>
      <c r="P117" s="125">
        <f t="shared" si="17"/>
        <v>0</v>
      </c>
      <c r="Q117" s="126"/>
      <c r="R117" s="126"/>
      <c r="S117" s="126"/>
      <c r="T117" s="126"/>
      <c r="U117" s="126"/>
      <c r="V117" s="126"/>
      <c r="W117" s="126"/>
      <c r="X117" s="125">
        <f t="shared" si="16"/>
        <v>0</v>
      </c>
      <c r="Y117" s="123"/>
      <c r="Z117" s="123"/>
      <c r="AA117" s="123"/>
      <c r="AB117" s="123"/>
      <c r="AC117" s="123"/>
      <c r="AD117" s="125">
        <f t="shared" si="18"/>
        <v>0</v>
      </c>
      <c r="AE117" s="123"/>
      <c r="AF117" s="123">
        <v>0</v>
      </c>
      <c r="AG117" s="123"/>
      <c r="AH117" s="123"/>
      <c r="AI117" s="123"/>
      <c r="AJ117" s="123"/>
      <c r="AK117" s="123"/>
      <c r="AL117" s="123"/>
      <c r="AM117" s="125">
        <f t="shared" si="20"/>
        <v>0</v>
      </c>
      <c r="AN117" s="128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7"/>
    </row>
    <row r="118" spans="1:56" s="156" customFormat="1" x14ac:dyDescent="0.25">
      <c r="A118" s="366"/>
      <c r="B118" s="369"/>
      <c r="C118" s="122" t="s">
        <v>58</v>
      </c>
      <c r="D118" s="129">
        <v>1</v>
      </c>
      <c r="E118" s="129">
        <v>1</v>
      </c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5">
        <f t="shared" si="17"/>
        <v>2</v>
      </c>
      <c r="Q118" s="123"/>
      <c r="R118" s="123"/>
      <c r="S118" s="123"/>
      <c r="T118" s="123"/>
      <c r="U118" s="123"/>
      <c r="V118" s="123"/>
      <c r="W118" s="123"/>
      <c r="X118" s="125">
        <f t="shared" si="16"/>
        <v>0</v>
      </c>
      <c r="Y118" s="123"/>
      <c r="Z118" s="123"/>
      <c r="AA118" s="123"/>
      <c r="AB118" s="123"/>
      <c r="AC118" s="123"/>
      <c r="AD118" s="125">
        <f t="shared" si="18"/>
        <v>0</v>
      </c>
      <c r="AE118" s="129">
        <v>1</v>
      </c>
      <c r="AF118" s="123"/>
      <c r="AG118" s="123"/>
      <c r="AH118" s="123"/>
      <c r="AI118" s="123"/>
      <c r="AJ118" s="123"/>
      <c r="AK118" s="123"/>
      <c r="AL118" s="123"/>
      <c r="AM118" s="125">
        <f t="shared" si="20"/>
        <v>0</v>
      </c>
      <c r="AN118" s="128"/>
      <c r="AO118" s="15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 s="88"/>
    </row>
    <row r="119" spans="1:56" x14ac:dyDescent="0.25">
      <c r="A119" s="366"/>
      <c r="B119" s="369"/>
      <c r="C119" s="122" t="s">
        <v>59</v>
      </c>
      <c r="D119" s="123"/>
      <c r="E119" s="123"/>
      <c r="F119" s="123"/>
      <c r="G119" s="123"/>
      <c r="H119" s="123"/>
      <c r="I119" s="126"/>
      <c r="J119" s="123"/>
      <c r="K119" s="123"/>
      <c r="L119" s="123"/>
      <c r="M119" s="123"/>
      <c r="N119" s="123"/>
      <c r="O119" s="123"/>
      <c r="P119" s="125">
        <f t="shared" si="17"/>
        <v>0</v>
      </c>
      <c r="Q119" s="126"/>
      <c r="R119" s="126"/>
      <c r="S119" s="126"/>
      <c r="T119" s="126"/>
      <c r="U119" s="126"/>
      <c r="V119" s="126"/>
      <c r="W119" s="126"/>
      <c r="X119" s="125">
        <f t="shared" ref="X119:X174" si="21">SUM(R119:W119)</f>
        <v>0</v>
      </c>
      <c r="Y119" s="123"/>
      <c r="Z119" s="123"/>
      <c r="AA119" s="123"/>
      <c r="AB119" s="123"/>
      <c r="AC119" s="123"/>
      <c r="AD119" s="125">
        <f t="shared" ref="AD119:AD174" si="22">SUM(Y119:AC119)</f>
        <v>0</v>
      </c>
      <c r="AE119" s="123"/>
      <c r="AF119" s="123"/>
      <c r="AG119" s="123"/>
      <c r="AH119" s="123"/>
      <c r="AI119" s="123"/>
      <c r="AJ119" s="123"/>
      <c r="AK119" s="123"/>
      <c r="AL119" s="123"/>
      <c r="AM119" s="125">
        <f t="shared" si="20"/>
        <v>0</v>
      </c>
      <c r="AN119" s="128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60"/>
    </row>
    <row r="120" spans="1:56" s="159" customFormat="1" x14ac:dyDescent="0.25">
      <c r="A120" s="366"/>
      <c r="B120" s="369"/>
      <c r="C120" s="122" t="s">
        <v>60</v>
      </c>
      <c r="D120" s="123"/>
      <c r="E120" s="123"/>
      <c r="F120" s="123"/>
      <c r="G120" s="123"/>
      <c r="H120" s="123"/>
      <c r="I120" s="126"/>
      <c r="J120" s="123"/>
      <c r="K120" s="123"/>
      <c r="L120" s="123"/>
      <c r="M120" s="123"/>
      <c r="N120" s="123"/>
      <c r="O120" s="123"/>
      <c r="P120" s="125">
        <f t="shared" si="17"/>
        <v>0</v>
      </c>
      <c r="Q120" s="126"/>
      <c r="R120" s="126"/>
      <c r="S120" s="126"/>
      <c r="T120" s="126"/>
      <c r="U120" s="126"/>
      <c r="V120" s="126"/>
      <c r="W120" s="126"/>
      <c r="X120" s="125">
        <f t="shared" si="21"/>
        <v>0</v>
      </c>
      <c r="Y120" s="123"/>
      <c r="Z120" s="123"/>
      <c r="AA120" s="123"/>
      <c r="AB120" s="123"/>
      <c r="AC120" s="123"/>
      <c r="AD120" s="125">
        <f t="shared" si="22"/>
        <v>0</v>
      </c>
      <c r="AE120" s="123"/>
      <c r="AF120" s="123"/>
      <c r="AG120" s="123"/>
      <c r="AH120" s="123"/>
      <c r="AI120" s="123"/>
      <c r="AJ120" s="123"/>
      <c r="AK120" s="123"/>
      <c r="AL120" s="123"/>
      <c r="AM120" s="125">
        <f t="shared" si="20"/>
        <v>0</v>
      </c>
      <c r="AN120" s="128"/>
      <c r="AO120" s="16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 s="88"/>
    </row>
    <row r="121" spans="1:56" x14ac:dyDescent="0.25">
      <c r="A121" s="366"/>
      <c r="B121" s="369"/>
      <c r="C121" s="122" t="s">
        <v>61</v>
      </c>
      <c r="D121" s="123"/>
      <c r="E121" s="123"/>
      <c r="F121" s="123"/>
      <c r="G121" s="123"/>
      <c r="H121" s="123"/>
      <c r="I121" s="126"/>
      <c r="J121" s="123"/>
      <c r="K121" s="123"/>
      <c r="L121" s="123"/>
      <c r="M121" s="123"/>
      <c r="N121" s="123"/>
      <c r="O121" s="123"/>
      <c r="P121" s="125">
        <f t="shared" si="17"/>
        <v>0</v>
      </c>
      <c r="Q121" s="126"/>
      <c r="R121" s="126"/>
      <c r="S121" s="126"/>
      <c r="T121" s="126"/>
      <c r="U121" s="126"/>
      <c r="V121" s="126"/>
      <c r="W121" s="126"/>
      <c r="X121" s="125">
        <f t="shared" si="21"/>
        <v>0</v>
      </c>
      <c r="Y121" s="123"/>
      <c r="Z121" s="123"/>
      <c r="AA121" s="123"/>
      <c r="AB121" s="123"/>
      <c r="AC121" s="123"/>
      <c r="AD121" s="125">
        <f t="shared" si="22"/>
        <v>0</v>
      </c>
      <c r="AE121" s="123"/>
      <c r="AF121" s="123"/>
      <c r="AG121" s="123"/>
      <c r="AH121" s="123"/>
      <c r="AI121" s="123"/>
      <c r="AJ121" s="123"/>
      <c r="AK121" s="123"/>
      <c r="AL121" s="123"/>
      <c r="AM121" s="125">
        <f t="shared" si="20"/>
        <v>0</v>
      </c>
      <c r="AN121" s="128"/>
    </row>
    <row r="122" spans="1:56" x14ac:dyDescent="0.25">
      <c r="A122" s="366"/>
      <c r="B122" s="369"/>
      <c r="C122" s="122" t="s">
        <v>62</v>
      </c>
      <c r="D122" s="123"/>
      <c r="E122" s="129">
        <v>1</v>
      </c>
      <c r="F122" s="123"/>
      <c r="G122" s="129">
        <v>4</v>
      </c>
      <c r="H122" s="123"/>
      <c r="I122" s="129">
        <v>1</v>
      </c>
      <c r="J122" s="129">
        <v>1</v>
      </c>
      <c r="K122" s="129">
        <v>3</v>
      </c>
      <c r="L122" s="129">
        <v>2</v>
      </c>
      <c r="M122" s="129">
        <v>1</v>
      </c>
      <c r="N122" s="123"/>
      <c r="O122" s="123"/>
      <c r="P122" s="125">
        <f t="shared" si="17"/>
        <v>13</v>
      </c>
      <c r="Q122" s="129">
        <f>3+4+3+5+6+1</f>
        <v>22</v>
      </c>
      <c r="R122" s="126"/>
      <c r="S122" s="126"/>
      <c r="T122" s="126"/>
      <c r="U122" s="126"/>
      <c r="V122" s="129">
        <f>10+16+2+8+3+15+9</f>
        <v>63</v>
      </c>
      <c r="W122" s="126"/>
      <c r="X122" s="125">
        <f t="shared" si="21"/>
        <v>63</v>
      </c>
      <c r="Y122" s="129">
        <f>2+5+2+2+5+6+1</f>
        <v>23</v>
      </c>
      <c r="Z122" s="123"/>
      <c r="AA122" s="123"/>
      <c r="AB122" s="123"/>
      <c r="AC122" s="123"/>
      <c r="AD122" s="125">
        <f t="shared" si="22"/>
        <v>23</v>
      </c>
      <c r="AE122" s="123"/>
      <c r="AF122" s="123"/>
      <c r="AG122" s="123"/>
      <c r="AH122" s="123"/>
      <c r="AI122" s="123"/>
      <c r="AJ122" s="123"/>
      <c r="AK122" s="123"/>
      <c r="AL122" s="123"/>
      <c r="AM122" s="125">
        <f t="shared" si="20"/>
        <v>86</v>
      </c>
      <c r="AN122" s="138">
        <f>370000000+1255000000</f>
        <v>1625000000</v>
      </c>
    </row>
    <row r="123" spans="1:56" x14ac:dyDescent="0.25">
      <c r="A123" s="366"/>
      <c r="B123" s="369"/>
      <c r="C123" s="122" t="s">
        <v>63</v>
      </c>
      <c r="D123" s="129">
        <v>1</v>
      </c>
      <c r="E123" s="129">
        <v>1</v>
      </c>
      <c r="F123" s="123"/>
      <c r="G123" s="129">
        <v>1</v>
      </c>
      <c r="H123" s="123"/>
      <c r="I123" s="123"/>
      <c r="J123" s="129">
        <v>1</v>
      </c>
      <c r="K123" s="129">
        <v>7</v>
      </c>
      <c r="L123" s="129">
        <v>3</v>
      </c>
      <c r="M123" s="123"/>
      <c r="N123" s="123"/>
      <c r="O123" s="123"/>
      <c r="P123" s="125">
        <f t="shared" si="17"/>
        <v>14</v>
      </c>
      <c r="Q123" s="129">
        <f>19+1+1+177+52</f>
        <v>250</v>
      </c>
      <c r="R123" s="123"/>
      <c r="S123" s="123"/>
      <c r="T123" s="123"/>
      <c r="U123" s="123"/>
      <c r="V123" s="129">
        <f>61+5+4+431+19</f>
        <v>520</v>
      </c>
      <c r="W123" s="123"/>
      <c r="X123" s="125">
        <f t="shared" si="21"/>
        <v>520</v>
      </c>
      <c r="Y123" s="129">
        <f>18+2+1+1+170+51</f>
        <v>243</v>
      </c>
      <c r="Z123" s="129">
        <f>1+10</f>
        <v>11</v>
      </c>
      <c r="AA123" s="129">
        <f>1+1</f>
        <v>2</v>
      </c>
      <c r="AB123" s="129">
        <v>1</v>
      </c>
      <c r="AC123" s="123"/>
      <c r="AD123" s="125">
        <f t="shared" si="22"/>
        <v>257</v>
      </c>
      <c r="AE123" s="123"/>
      <c r="AF123" s="123"/>
      <c r="AG123" s="123"/>
      <c r="AH123" s="123"/>
      <c r="AI123" s="129">
        <v>3</v>
      </c>
      <c r="AJ123" s="129">
        <f>1+5+5</f>
        <v>11</v>
      </c>
      <c r="AK123" s="129">
        <v>1</v>
      </c>
      <c r="AL123" s="123"/>
      <c r="AM123" s="125">
        <f t="shared" si="20"/>
        <v>777</v>
      </c>
      <c r="AN123" s="128"/>
    </row>
    <row r="124" spans="1:56" x14ac:dyDescent="0.25">
      <c r="A124" s="366"/>
      <c r="B124" s="369"/>
      <c r="C124" s="122" t="s">
        <v>64</v>
      </c>
      <c r="D124" s="123"/>
      <c r="E124" s="123"/>
      <c r="F124" s="123"/>
      <c r="G124" s="123"/>
      <c r="H124" s="123"/>
      <c r="I124" s="126"/>
      <c r="J124" s="123"/>
      <c r="K124" s="123"/>
      <c r="L124" s="123"/>
      <c r="M124" s="123"/>
      <c r="N124" s="123"/>
      <c r="O124" s="123"/>
      <c r="P124" s="125">
        <f t="shared" si="17"/>
        <v>0</v>
      </c>
      <c r="Q124" s="126"/>
      <c r="R124" s="126"/>
      <c r="S124" s="126"/>
      <c r="T124" s="126"/>
      <c r="U124" s="126"/>
      <c r="V124" s="126"/>
      <c r="W124" s="126"/>
      <c r="X124" s="125">
        <f t="shared" si="21"/>
        <v>0</v>
      </c>
      <c r="Y124" s="123"/>
      <c r="Z124" s="123"/>
      <c r="AA124" s="123"/>
      <c r="AB124" s="123"/>
      <c r="AC124" s="123"/>
      <c r="AD124" s="125">
        <f t="shared" si="22"/>
        <v>0</v>
      </c>
      <c r="AE124" s="123"/>
      <c r="AF124" s="123"/>
      <c r="AG124" s="123"/>
      <c r="AH124" s="123"/>
      <c r="AI124" s="123"/>
      <c r="AJ124" s="123"/>
      <c r="AK124" s="123"/>
      <c r="AL124" s="123"/>
      <c r="AM124" s="125">
        <f t="shared" si="20"/>
        <v>0</v>
      </c>
      <c r="AN124" s="128"/>
    </row>
    <row r="125" spans="1:56" x14ac:dyDescent="0.25">
      <c r="A125" s="366"/>
      <c r="B125" s="369"/>
      <c r="C125" s="140" t="s">
        <v>65</v>
      </c>
      <c r="D125" s="123"/>
      <c r="E125" s="123"/>
      <c r="F125" s="123"/>
      <c r="G125" s="123"/>
      <c r="H125" s="123"/>
      <c r="I125" s="126"/>
      <c r="J125" s="123"/>
      <c r="K125" s="123"/>
      <c r="L125" s="123"/>
      <c r="M125" s="123"/>
      <c r="N125" s="123"/>
      <c r="O125" s="123"/>
      <c r="P125" s="125">
        <f t="shared" si="17"/>
        <v>0</v>
      </c>
      <c r="Q125" s="126"/>
      <c r="R125" s="126"/>
      <c r="S125" s="126"/>
      <c r="T125" s="126"/>
      <c r="U125" s="126"/>
      <c r="V125" s="126"/>
      <c r="W125" s="126"/>
      <c r="X125" s="125">
        <f t="shared" si="21"/>
        <v>0</v>
      </c>
      <c r="Y125" s="123"/>
      <c r="Z125" s="123"/>
      <c r="AA125" s="123"/>
      <c r="AB125" s="123"/>
      <c r="AC125" s="123"/>
      <c r="AD125" s="125">
        <f t="shared" si="22"/>
        <v>0</v>
      </c>
      <c r="AE125" s="123"/>
      <c r="AF125" s="123"/>
      <c r="AG125" s="123"/>
      <c r="AH125" s="123"/>
      <c r="AI125" s="123"/>
      <c r="AJ125" s="123"/>
      <c r="AK125" s="123"/>
      <c r="AL125" s="123"/>
      <c r="AM125" s="125">
        <f t="shared" si="20"/>
        <v>0</v>
      </c>
      <c r="AN125" s="128"/>
    </row>
    <row r="126" spans="1:56" x14ac:dyDescent="0.25">
      <c r="A126" s="366"/>
      <c r="B126" s="369"/>
      <c r="C126" s="147" t="s">
        <v>66</v>
      </c>
      <c r="D126" s="123"/>
      <c r="E126" s="123"/>
      <c r="F126" s="123"/>
      <c r="G126" s="123"/>
      <c r="H126" s="123"/>
      <c r="I126" s="126"/>
      <c r="J126" s="123"/>
      <c r="K126" s="123"/>
      <c r="L126" s="123"/>
      <c r="M126" s="129">
        <v>2</v>
      </c>
      <c r="N126" s="123"/>
      <c r="O126" s="123"/>
      <c r="P126" s="125">
        <f t="shared" si="17"/>
        <v>2</v>
      </c>
      <c r="Q126" s="126"/>
      <c r="R126" s="126"/>
      <c r="S126" s="126"/>
      <c r="T126" s="126"/>
      <c r="U126" s="126"/>
      <c r="V126" s="126"/>
      <c r="W126" s="126"/>
      <c r="X126" s="125">
        <f t="shared" si="21"/>
        <v>0</v>
      </c>
      <c r="Y126" s="123"/>
      <c r="Z126" s="123"/>
      <c r="AA126" s="123"/>
      <c r="AB126" s="123"/>
      <c r="AC126" s="123"/>
      <c r="AD126" s="125">
        <f t="shared" si="22"/>
        <v>0</v>
      </c>
      <c r="AE126" s="123"/>
      <c r="AF126" s="123"/>
      <c r="AG126" s="123"/>
      <c r="AH126" s="123"/>
      <c r="AI126" s="123"/>
      <c r="AJ126" s="123"/>
      <c r="AK126" s="123"/>
      <c r="AL126" s="123"/>
      <c r="AM126" s="125">
        <f t="shared" si="20"/>
        <v>0</v>
      </c>
      <c r="AN126" s="128"/>
    </row>
    <row r="127" spans="1:56" s="218" customFormat="1" x14ac:dyDescent="0.25">
      <c r="A127" s="367"/>
      <c r="B127" s="370"/>
      <c r="C127" s="221" t="s">
        <v>67</v>
      </c>
      <c r="D127" s="214"/>
      <c r="E127" s="214"/>
      <c r="F127" s="214"/>
      <c r="G127" s="214"/>
      <c r="H127" s="214"/>
      <c r="I127" s="222"/>
      <c r="J127" s="214"/>
      <c r="K127" s="214"/>
      <c r="L127" s="214"/>
      <c r="M127" s="223">
        <v>2</v>
      </c>
      <c r="N127" s="214"/>
      <c r="O127" s="214"/>
      <c r="P127" s="215">
        <f t="shared" si="17"/>
        <v>2</v>
      </c>
      <c r="Q127" s="223">
        <v>720</v>
      </c>
      <c r="R127" s="222"/>
      <c r="S127" s="222"/>
      <c r="T127" s="222"/>
      <c r="U127" s="222"/>
      <c r="V127" s="222"/>
      <c r="W127" s="222"/>
      <c r="X127" s="215">
        <f t="shared" si="21"/>
        <v>0</v>
      </c>
      <c r="Y127" s="214"/>
      <c r="Z127" s="214"/>
      <c r="AA127" s="214"/>
      <c r="AB127" s="214"/>
      <c r="AC127" s="214"/>
      <c r="AD127" s="215">
        <f t="shared" si="22"/>
        <v>0</v>
      </c>
      <c r="AE127" s="214"/>
      <c r="AF127" s="214"/>
      <c r="AG127" s="214"/>
      <c r="AH127" s="214"/>
      <c r="AI127" s="214"/>
      <c r="AJ127" s="214"/>
      <c r="AK127" s="214"/>
      <c r="AL127" s="214"/>
      <c r="AM127" s="215">
        <f t="shared" si="20"/>
        <v>0</v>
      </c>
      <c r="AN127" s="216"/>
      <c r="AO127" s="217"/>
      <c r="BD127" s="224"/>
    </row>
    <row r="128" spans="1:56" ht="16.5" customHeight="1" x14ac:dyDescent="0.25">
      <c r="A128" s="365">
        <v>11</v>
      </c>
      <c r="B128" s="368" t="s">
        <v>32</v>
      </c>
      <c r="C128" s="143" t="s">
        <v>56</v>
      </c>
      <c r="D128" s="176"/>
      <c r="E128" s="208">
        <v>1</v>
      </c>
      <c r="F128" s="176"/>
      <c r="G128" s="176"/>
      <c r="H128" s="208">
        <v>1</v>
      </c>
      <c r="I128" s="207"/>
      <c r="J128" s="176"/>
      <c r="K128" s="176"/>
      <c r="L128" s="176"/>
      <c r="M128" s="176"/>
      <c r="N128" s="176"/>
      <c r="O128" s="176"/>
      <c r="P128" s="209">
        <f t="shared" si="17"/>
        <v>2</v>
      </c>
      <c r="Q128" s="207"/>
      <c r="R128" s="207"/>
      <c r="S128" s="207"/>
      <c r="T128" s="207"/>
      <c r="U128" s="207"/>
      <c r="V128" s="207"/>
      <c r="W128" s="207"/>
      <c r="X128" s="209">
        <f t="shared" si="21"/>
        <v>0</v>
      </c>
      <c r="Y128" s="208">
        <v>8</v>
      </c>
      <c r="Z128" s="176"/>
      <c r="AA128" s="176"/>
      <c r="AB128" s="176"/>
      <c r="AC128" s="176"/>
      <c r="AD128" s="209">
        <f t="shared" si="22"/>
        <v>8</v>
      </c>
      <c r="AE128" s="176"/>
      <c r="AF128" s="176"/>
      <c r="AG128" s="176"/>
      <c r="AH128" s="176"/>
      <c r="AI128" s="176"/>
      <c r="AJ128" s="176"/>
      <c r="AK128" s="176"/>
      <c r="AL128" s="176"/>
      <c r="AM128" s="209">
        <f t="shared" si="20"/>
        <v>8</v>
      </c>
      <c r="AN128" s="219"/>
    </row>
    <row r="129" spans="1:56" x14ac:dyDescent="0.25">
      <c r="A129" s="366"/>
      <c r="B129" s="369"/>
      <c r="C129" s="122" t="s">
        <v>57</v>
      </c>
      <c r="D129" s="123"/>
      <c r="E129" s="123"/>
      <c r="F129" s="123"/>
      <c r="G129" s="123"/>
      <c r="H129" s="123"/>
      <c r="I129" s="126"/>
      <c r="J129" s="123"/>
      <c r="K129" s="123"/>
      <c r="L129" s="123"/>
      <c r="M129" s="123"/>
      <c r="N129" s="123"/>
      <c r="O129" s="123"/>
      <c r="P129" s="125">
        <f t="shared" si="17"/>
        <v>0</v>
      </c>
      <c r="Q129" s="126"/>
      <c r="R129" s="126"/>
      <c r="S129" s="126"/>
      <c r="T129" s="126"/>
      <c r="U129" s="126"/>
      <c r="V129" s="126"/>
      <c r="W129" s="126"/>
      <c r="X129" s="125">
        <f t="shared" si="21"/>
        <v>0</v>
      </c>
      <c r="Y129" s="123"/>
      <c r="Z129" s="123"/>
      <c r="AA129" s="123"/>
      <c r="AB129" s="123"/>
      <c r="AC129" s="123"/>
      <c r="AD129" s="125">
        <f t="shared" si="22"/>
        <v>0</v>
      </c>
      <c r="AE129" s="123"/>
      <c r="AF129" s="123">
        <v>0</v>
      </c>
      <c r="AG129" s="123"/>
      <c r="AH129" s="123"/>
      <c r="AI129" s="123"/>
      <c r="AJ129" s="123"/>
      <c r="AK129" s="123"/>
      <c r="AL129" s="123"/>
      <c r="AM129" s="125">
        <f t="shared" si="20"/>
        <v>0</v>
      </c>
      <c r="AN129" s="128"/>
    </row>
    <row r="130" spans="1:56" x14ac:dyDescent="0.25">
      <c r="A130" s="366"/>
      <c r="B130" s="369"/>
      <c r="C130" s="122" t="s">
        <v>58</v>
      </c>
      <c r="D130" s="129">
        <v>3</v>
      </c>
      <c r="E130" s="129">
        <v>3</v>
      </c>
      <c r="F130" s="123"/>
      <c r="G130" s="123"/>
      <c r="H130" s="129">
        <v>3</v>
      </c>
      <c r="I130" s="129">
        <v>2</v>
      </c>
      <c r="J130" s="123"/>
      <c r="K130" s="123"/>
      <c r="L130" s="123"/>
      <c r="M130" s="123"/>
      <c r="N130" s="123"/>
      <c r="O130" s="123"/>
      <c r="P130" s="125">
        <f t="shared" si="17"/>
        <v>11</v>
      </c>
      <c r="Q130" s="129">
        <v>1</v>
      </c>
      <c r="R130" s="123"/>
      <c r="S130" s="123"/>
      <c r="T130" s="123"/>
      <c r="U130" s="123"/>
      <c r="V130" s="123"/>
      <c r="W130" s="123"/>
      <c r="X130" s="125">
        <f t="shared" si="21"/>
        <v>0</v>
      </c>
      <c r="Y130" s="129">
        <v>1</v>
      </c>
      <c r="Z130" s="123"/>
      <c r="AA130" s="123"/>
      <c r="AB130" s="123"/>
      <c r="AC130" s="123"/>
      <c r="AD130" s="125">
        <f t="shared" si="22"/>
        <v>1</v>
      </c>
      <c r="AE130" s="129">
        <f>3+51+52</f>
        <v>106</v>
      </c>
      <c r="AF130" s="123"/>
      <c r="AG130" s="123"/>
      <c r="AH130" s="123"/>
      <c r="AI130" s="123"/>
      <c r="AJ130" s="123"/>
      <c r="AK130" s="123"/>
      <c r="AL130" s="123"/>
      <c r="AM130" s="125">
        <f t="shared" si="20"/>
        <v>1</v>
      </c>
      <c r="AN130" s="138">
        <f>36400000+135000000</f>
        <v>171400000</v>
      </c>
    </row>
    <row r="131" spans="1:56" x14ac:dyDescent="0.25">
      <c r="A131" s="366"/>
      <c r="B131" s="369"/>
      <c r="C131" s="122" t="s">
        <v>59</v>
      </c>
      <c r="D131" s="123"/>
      <c r="E131" s="123"/>
      <c r="F131" s="123"/>
      <c r="G131" s="123"/>
      <c r="H131" s="123"/>
      <c r="I131" s="126"/>
      <c r="J131" s="123"/>
      <c r="K131" s="123"/>
      <c r="L131" s="123"/>
      <c r="M131" s="123"/>
      <c r="N131" s="123"/>
      <c r="O131" s="123"/>
      <c r="P131" s="125">
        <f t="shared" si="17"/>
        <v>0</v>
      </c>
      <c r="Q131" s="126"/>
      <c r="R131" s="126"/>
      <c r="S131" s="126"/>
      <c r="T131" s="126"/>
      <c r="U131" s="126"/>
      <c r="V131" s="126"/>
      <c r="W131" s="126"/>
      <c r="X131" s="125">
        <f t="shared" si="21"/>
        <v>0</v>
      </c>
      <c r="Y131" s="123"/>
      <c r="Z131" s="123"/>
      <c r="AA131" s="123"/>
      <c r="AB131" s="123"/>
      <c r="AC131" s="123"/>
      <c r="AD131" s="125">
        <f t="shared" si="22"/>
        <v>0</v>
      </c>
      <c r="AE131" s="123"/>
      <c r="AF131" s="123"/>
      <c r="AG131" s="123"/>
      <c r="AH131" s="123"/>
      <c r="AI131" s="123"/>
      <c r="AJ131" s="123"/>
      <c r="AK131" s="123"/>
      <c r="AL131" s="123"/>
      <c r="AM131" s="125">
        <f t="shared" si="20"/>
        <v>0</v>
      </c>
      <c r="AN131" s="128"/>
    </row>
    <row r="132" spans="1:56" x14ac:dyDescent="0.25">
      <c r="A132" s="366"/>
      <c r="B132" s="369"/>
      <c r="C132" s="122" t="s">
        <v>60</v>
      </c>
      <c r="D132" s="123"/>
      <c r="E132" s="123"/>
      <c r="F132" s="123"/>
      <c r="G132" s="123"/>
      <c r="H132" s="123"/>
      <c r="I132" s="126"/>
      <c r="J132" s="123"/>
      <c r="K132" s="123"/>
      <c r="L132" s="123"/>
      <c r="M132" s="123"/>
      <c r="N132" s="123"/>
      <c r="O132" s="123"/>
      <c r="P132" s="125">
        <f t="shared" si="17"/>
        <v>0</v>
      </c>
      <c r="Q132" s="126"/>
      <c r="R132" s="126"/>
      <c r="S132" s="126"/>
      <c r="T132" s="126"/>
      <c r="U132" s="126"/>
      <c r="V132" s="126"/>
      <c r="W132" s="126"/>
      <c r="X132" s="125">
        <f t="shared" si="21"/>
        <v>0</v>
      </c>
      <c r="Y132" s="123"/>
      <c r="Z132" s="123"/>
      <c r="AA132" s="123"/>
      <c r="AB132" s="123"/>
      <c r="AC132" s="123"/>
      <c r="AD132" s="125">
        <f t="shared" si="22"/>
        <v>0</v>
      </c>
      <c r="AE132" s="123"/>
      <c r="AF132" s="123"/>
      <c r="AG132" s="123"/>
      <c r="AH132" s="123"/>
      <c r="AI132" s="123"/>
      <c r="AJ132" s="123"/>
      <c r="AK132" s="123"/>
      <c r="AL132" s="123"/>
      <c r="AM132" s="125">
        <f t="shared" si="20"/>
        <v>0</v>
      </c>
      <c r="AN132" s="128"/>
    </row>
    <row r="133" spans="1:56" x14ac:dyDescent="0.25">
      <c r="A133" s="366"/>
      <c r="B133" s="369"/>
      <c r="C133" s="122" t="s">
        <v>61</v>
      </c>
      <c r="D133" s="123"/>
      <c r="E133" s="123"/>
      <c r="F133" s="123"/>
      <c r="G133" s="123"/>
      <c r="H133" s="123"/>
      <c r="I133" s="126"/>
      <c r="J133" s="123"/>
      <c r="K133" s="123"/>
      <c r="L133" s="123"/>
      <c r="M133" s="123"/>
      <c r="N133" s="123"/>
      <c r="O133" s="123"/>
      <c r="P133" s="125">
        <f t="shared" si="17"/>
        <v>0</v>
      </c>
      <c r="Q133" s="126"/>
      <c r="R133" s="126"/>
      <c r="S133" s="126"/>
      <c r="T133" s="126"/>
      <c r="U133" s="126"/>
      <c r="V133" s="126"/>
      <c r="W133" s="126"/>
      <c r="X133" s="125">
        <f t="shared" si="21"/>
        <v>0</v>
      </c>
      <c r="Y133" s="123"/>
      <c r="Z133" s="123"/>
      <c r="AA133" s="123"/>
      <c r="AB133" s="123"/>
      <c r="AC133" s="123"/>
      <c r="AD133" s="125">
        <f t="shared" si="22"/>
        <v>0</v>
      </c>
      <c r="AE133" s="123"/>
      <c r="AF133" s="123"/>
      <c r="AG133" s="123"/>
      <c r="AH133" s="123"/>
      <c r="AI133" s="123"/>
      <c r="AJ133" s="123"/>
      <c r="AK133" s="123"/>
      <c r="AL133" s="123"/>
      <c r="AM133" s="125">
        <f t="shared" si="20"/>
        <v>0</v>
      </c>
      <c r="AN133" s="128"/>
    </row>
    <row r="134" spans="1:56" x14ac:dyDescent="0.25">
      <c r="A134" s="366"/>
      <c r="B134" s="369"/>
      <c r="C134" s="122" t="s">
        <v>62</v>
      </c>
      <c r="D134" s="129">
        <v>3</v>
      </c>
      <c r="E134" s="129">
        <v>5</v>
      </c>
      <c r="F134" s="129">
        <v>3</v>
      </c>
      <c r="G134" s="129">
        <v>6</v>
      </c>
      <c r="H134" s="129">
        <v>3</v>
      </c>
      <c r="I134" s="129">
        <v>4</v>
      </c>
      <c r="J134" s="129">
        <v>3</v>
      </c>
      <c r="K134" s="129">
        <v>4</v>
      </c>
      <c r="L134" s="129">
        <v>10</v>
      </c>
      <c r="M134" s="129">
        <v>10</v>
      </c>
      <c r="N134" s="129">
        <v>5</v>
      </c>
      <c r="O134" s="129">
        <v>6</v>
      </c>
      <c r="P134" s="125">
        <f t="shared" si="17"/>
        <v>62</v>
      </c>
      <c r="Q134" s="129">
        <f>2+5+5+5+6+5+2+10+12+7+8</f>
        <v>67</v>
      </c>
      <c r="R134" s="129">
        <v>1</v>
      </c>
      <c r="S134" s="129">
        <v>1</v>
      </c>
      <c r="T134" s="123"/>
      <c r="U134" s="123"/>
      <c r="V134" s="129">
        <f>1+23+16+5</f>
        <v>45</v>
      </c>
      <c r="W134" s="123"/>
      <c r="X134" s="125">
        <f t="shared" si="21"/>
        <v>47</v>
      </c>
      <c r="Y134" s="129">
        <f>8+4+6+5+11+5+6+15+22+6+8</f>
        <v>96</v>
      </c>
      <c r="Z134" s="123"/>
      <c r="AA134" s="123"/>
      <c r="AB134" s="123"/>
      <c r="AC134" s="123"/>
      <c r="AD134" s="125">
        <f t="shared" si="22"/>
        <v>96</v>
      </c>
      <c r="AE134" s="123"/>
      <c r="AF134" s="123"/>
      <c r="AG134" s="123"/>
      <c r="AH134" s="123"/>
      <c r="AI134" s="129">
        <v>1</v>
      </c>
      <c r="AJ134" s="129">
        <f>1+5</f>
        <v>6</v>
      </c>
      <c r="AK134" s="123"/>
      <c r="AL134" s="123"/>
      <c r="AM134" s="125">
        <f t="shared" si="20"/>
        <v>143</v>
      </c>
      <c r="AN134" s="162">
        <v>11404800000</v>
      </c>
    </row>
    <row r="135" spans="1:56" ht="14.25" customHeight="1" x14ac:dyDescent="0.25">
      <c r="A135" s="366"/>
      <c r="B135" s="369"/>
      <c r="C135" s="122" t="s">
        <v>63</v>
      </c>
      <c r="D135" s="129">
        <v>3</v>
      </c>
      <c r="E135" s="129">
        <v>2</v>
      </c>
      <c r="F135" s="129">
        <v>6</v>
      </c>
      <c r="G135" s="129">
        <v>1</v>
      </c>
      <c r="H135" s="129">
        <v>2</v>
      </c>
      <c r="I135" s="123"/>
      <c r="J135" s="129">
        <v>4</v>
      </c>
      <c r="K135" s="123"/>
      <c r="L135" s="129">
        <v>1</v>
      </c>
      <c r="M135" s="129">
        <v>3</v>
      </c>
      <c r="N135" s="129">
        <v>1</v>
      </c>
      <c r="O135" s="129">
        <v>2</v>
      </c>
      <c r="P135" s="125">
        <f t="shared" si="17"/>
        <v>25</v>
      </c>
      <c r="Q135" s="129">
        <f>8+23+2+13</f>
        <v>46</v>
      </c>
      <c r="R135" s="123"/>
      <c r="S135" s="123"/>
      <c r="T135" s="123"/>
      <c r="U135" s="123"/>
      <c r="V135" s="129">
        <f>5+4+1+1+1</f>
        <v>12</v>
      </c>
      <c r="W135" s="123"/>
      <c r="X135" s="125">
        <f t="shared" si="21"/>
        <v>12</v>
      </c>
      <c r="Y135" s="129">
        <f>38+24+1+11+1+1+2+8+13</f>
        <v>99</v>
      </c>
      <c r="Z135" s="123"/>
      <c r="AA135" s="129">
        <v>1</v>
      </c>
      <c r="AB135" s="123"/>
      <c r="AC135" s="123"/>
      <c r="AD135" s="125">
        <f t="shared" si="22"/>
        <v>100</v>
      </c>
      <c r="AE135" s="129">
        <v>1</v>
      </c>
      <c r="AF135" s="123"/>
      <c r="AG135" s="123"/>
      <c r="AH135" s="123"/>
      <c r="AI135" s="123"/>
      <c r="AJ135" s="123"/>
      <c r="AK135" s="123"/>
      <c r="AL135" s="123"/>
      <c r="AM135" s="125">
        <f t="shared" si="20"/>
        <v>112</v>
      </c>
      <c r="AN135" s="138">
        <f>71200000+131600000+20000000+24000000+30000000+1015000000</f>
        <v>1291800000</v>
      </c>
    </row>
    <row r="136" spans="1:56" x14ac:dyDescent="0.25">
      <c r="A136" s="366"/>
      <c r="B136" s="369"/>
      <c r="C136" s="122" t="s">
        <v>64</v>
      </c>
      <c r="D136" s="123"/>
      <c r="E136" s="123"/>
      <c r="F136" s="129">
        <v>1</v>
      </c>
      <c r="G136" s="123"/>
      <c r="H136" s="123"/>
      <c r="I136" s="126"/>
      <c r="J136" s="123"/>
      <c r="K136" s="123"/>
      <c r="L136" s="123"/>
      <c r="M136" s="123"/>
      <c r="N136" s="123"/>
      <c r="O136" s="123"/>
      <c r="P136" s="125">
        <f t="shared" ref="P136:P199" si="23">SUM(D136:O136)</f>
        <v>1</v>
      </c>
      <c r="Q136" s="129">
        <v>6</v>
      </c>
      <c r="R136" s="126"/>
      <c r="S136" s="126"/>
      <c r="T136" s="126"/>
      <c r="U136" s="126"/>
      <c r="V136" s="126"/>
      <c r="W136" s="126"/>
      <c r="X136" s="125">
        <f t="shared" si="21"/>
        <v>0</v>
      </c>
      <c r="Y136" s="129">
        <v>6</v>
      </c>
      <c r="Z136" s="123"/>
      <c r="AA136" s="123"/>
      <c r="AB136" s="123"/>
      <c r="AC136" s="123"/>
      <c r="AD136" s="125">
        <f t="shared" si="22"/>
        <v>6</v>
      </c>
      <c r="AE136" s="123"/>
      <c r="AF136" s="123"/>
      <c r="AG136" s="123"/>
      <c r="AH136" s="123"/>
      <c r="AI136" s="123"/>
      <c r="AJ136" s="123"/>
      <c r="AK136" s="123"/>
      <c r="AL136" s="123"/>
      <c r="AM136" s="125">
        <f t="shared" si="20"/>
        <v>6</v>
      </c>
      <c r="AN136" s="138">
        <v>13500000</v>
      </c>
    </row>
    <row r="137" spans="1:56" x14ac:dyDescent="0.25">
      <c r="A137" s="366"/>
      <c r="B137" s="369"/>
      <c r="C137" s="140" t="s">
        <v>65</v>
      </c>
      <c r="D137" s="123"/>
      <c r="E137" s="123"/>
      <c r="F137" s="123"/>
      <c r="G137" s="123"/>
      <c r="H137" s="123"/>
      <c r="I137" s="126"/>
      <c r="J137" s="123"/>
      <c r="K137" s="129">
        <v>1</v>
      </c>
      <c r="L137" s="123"/>
      <c r="M137" s="123"/>
      <c r="N137" s="123"/>
      <c r="O137" s="123"/>
      <c r="P137" s="125">
        <f t="shared" si="23"/>
        <v>1</v>
      </c>
      <c r="Q137" s="126"/>
      <c r="R137" s="126"/>
      <c r="S137" s="126"/>
      <c r="T137" s="126"/>
      <c r="U137" s="126"/>
      <c r="V137" s="126"/>
      <c r="W137" s="126"/>
      <c r="X137" s="125">
        <f t="shared" si="21"/>
        <v>0</v>
      </c>
      <c r="Y137" s="123"/>
      <c r="Z137" s="123"/>
      <c r="AA137" s="123"/>
      <c r="AB137" s="123"/>
      <c r="AC137" s="123"/>
      <c r="AD137" s="125">
        <f t="shared" si="22"/>
        <v>0</v>
      </c>
      <c r="AE137" s="123"/>
      <c r="AF137" s="123"/>
      <c r="AG137" s="123"/>
      <c r="AH137" s="123"/>
      <c r="AI137" s="123"/>
      <c r="AJ137" s="123"/>
      <c r="AK137" s="123"/>
      <c r="AL137" s="123"/>
      <c r="AM137" s="125">
        <f t="shared" si="20"/>
        <v>0</v>
      </c>
      <c r="AN137" s="128"/>
    </row>
    <row r="138" spans="1:56" x14ac:dyDescent="0.25">
      <c r="A138" s="366"/>
      <c r="B138" s="369"/>
      <c r="C138" s="147" t="s">
        <v>66</v>
      </c>
      <c r="D138" s="123"/>
      <c r="E138" s="123"/>
      <c r="F138" s="123"/>
      <c r="G138" s="123"/>
      <c r="H138" s="123"/>
      <c r="I138" s="126"/>
      <c r="J138" s="123"/>
      <c r="K138" s="123"/>
      <c r="L138" s="129">
        <v>2</v>
      </c>
      <c r="M138" s="129">
        <v>14</v>
      </c>
      <c r="N138" s="129">
        <v>7</v>
      </c>
      <c r="O138" s="123"/>
      <c r="P138" s="125">
        <f t="shared" si="23"/>
        <v>23</v>
      </c>
      <c r="Q138" s="126"/>
      <c r="R138" s="129">
        <v>2</v>
      </c>
      <c r="S138" s="126"/>
      <c r="T138" s="126"/>
      <c r="U138" s="126"/>
      <c r="V138" s="126"/>
      <c r="W138" s="126"/>
      <c r="X138" s="125">
        <f t="shared" si="21"/>
        <v>2</v>
      </c>
      <c r="Y138" s="123"/>
      <c r="Z138" s="123"/>
      <c r="AA138" s="123"/>
      <c r="AB138" s="123"/>
      <c r="AC138" s="123"/>
      <c r="AD138" s="125">
        <f t="shared" si="22"/>
        <v>0</v>
      </c>
      <c r="AE138" s="123"/>
      <c r="AF138" s="129">
        <v>1</v>
      </c>
      <c r="AG138" s="123"/>
      <c r="AH138" s="129">
        <v>1</v>
      </c>
      <c r="AI138" s="123"/>
      <c r="AJ138" s="123"/>
      <c r="AK138" s="123"/>
      <c r="AL138" s="123"/>
      <c r="AM138" s="125">
        <f t="shared" si="20"/>
        <v>2</v>
      </c>
      <c r="AN138" s="138">
        <v>2500000</v>
      </c>
    </row>
    <row r="139" spans="1:56" s="217" customFormat="1" x14ac:dyDescent="0.25">
      <c r="A139" s="367"/>
      <c r="B139" s="370"/>
      <c r="C139" s="221" t="s">
        <v>67</v>
      </c>
      <c r="D139" s="214"/>
      <c r="E139" s="214"/>
      <c r="F139" s="214"/>
      <c r="G139" s="214"/>
      <c r="H139" s="214"/>
      <c r="I139" s="222"/>
      <c r="J139" s="214"/>
      <c r="K139" s="214"/>
      <c r="L139" s="214"/>
      <c r="M139" s="214"/>
      <c r="N139" s="214"/>
      <c r="O139" s="214"/>
      <c r="P139" s="215">
        <f t="shared" si="23"/>
        <v>0</v>
      </c>
      <c r="Q139" s="222"/>
      <c r="R139" s="222"/>
      <c r="S139" s="222"/>
      <c r="T139" s="222"/>
      <c r="U139" s="222"/>
      <c r="V139" s="222"/>
      <c r="W139" s="222"/>
      <c r="X139" s="215">
        <f t="shared" si="21"/>
        <v>0</v>
      </c>
      <c r="Y139" s="214"/>
      <c r="Z139" s="214"/>
      <c r="AA139" s="214"/>
      <c r="AB139" s="214"/>
      <c r="AC139" s="214"/>
      <c r="AD139" s="215">
        <f t="shared" si="22"/>
        <v>0</v>
      </c>
      <c r="AE139" s="214"/>
      <c r="AF139" s="214"/>
      <c r="AG139" s="214"/>
      <c r="AH139" s="214"/>
      <c r="AI139" s="214"/>
      <c r="AJ139" s="214"/>
      <c r="AK139" s="214"/>
      <c r="AL139" s="214"/>
      <c r="AM139" s="215">
        <f t="shared" si="20"/>
        <v>0</v>
      </c>
      <c r="AN139" s="216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24"/>
    </row>
    <row r="140" spans="1:56" s="83" customFormat="1" x14ac:dyDescent="0.25">
      <c r="A140" s="365">
        <v>12</v>
      </c>
      <c r="B140" s="368" t="s">
        <v>31</v>
      </c>
      <c r="C140" s="228" t="s">
        <v>56</v>
      </c>
      <c r="D140" s="229"/>
      <c r="E140" s="230">
        <v>3</v>
      </c>
      <c r="F140" s="229"/>
      <c r="G140" s="229"/>
      <c r="H140" s="229"/>
      <c r="I140" s="231"/>
      <c r="J140" s="229"/>
      <c r="K140" s="229"/>
      <c r="L140" s="229"/>
      <c r="M140" s="229"/>
      <c r="N140" s="229"/>
      <c r="O140" s="229"/>
      <c r="P140" s="209">
        <f t="shared" si="23"/>
        <v>3</v>
      </c>
      <c r="Q140" s="231"/>
      <c r="R140" s="231"/>
      <c r="S140" s="231"/>
      <c r="T140" s="231"/>
      <c r="U140" s="231"/>
      <c r="V140" s="230">
        <v>11163</v>
      </c>
      <c r="W140" s="231"/>
      <c r="X140" s="209">
        <f t="shared" si="21"/>
        <v>11163</v>
      </c>
      <c r="Y140" s="229"/>
      <c r="Z140" s="229"/>
      <c r="AA140" s="229"/>
      <c r="AB140" s="229"/>
      <c r="AC140" s="229"/>
      <c r="AD140" s="209">
        <f t="shared" si="22"/>
        <v>0</v>
      </c>
      <c r="AE140" s="229"/>
      <c r="AF140" s="230">
        <v>3723.15</v>
      </c>
      <c r="AG140" s="229"/>
      <c r="AH140" s="229"/>
      <c r="AI140" s="229"/>
      <c r="AJ140" s="229"/>
      <c r="AK140" s="229"/>
      <c r="AL140" s="229"/>
      <c r="AM140" s="209">
        <f t="shared" si="20"/>
        <v>11163</v>
      </c>
      <c r="AN140" s="232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 s="88"/>
    </row>
    <row r="141" spans="1:56" x14ac:dyDescent="0.25">
      <c r="A141" s="366"/>
      <c r="B141" s="369"/>
      <c r="C141" s="122" t="s">
        <v>57</v>
      </c>
      <c r="D141" s="123"/>
      <c r="E141" s="123"/>
      <c r="F141" s="123"/>
      <c r="G141" s="123"/>
      <c r="H141" s="123"/>
      <c r="I141" s="126"/>
      <c r="J141" s="123"/>
      <c r="K141" s="123"/>
      <c r="L141" s="123"/>
      <c r="M141" s="123"/>
      <c r="N141" s="123"/>
      <c r="O141" s="123"/>
      <c r="P141" s="125">
        <f t="shared" si="23"/>
        <v>0</v>
      </c>
      <c r="Q141" s="126"/>
      <c r="R141" s="126"/>
      <c r="S141" s="126"/>
      <c r="T141" s="126"/>
      <c r="U141" s="126"/>
      <c r="V141" s="126"/>
      <c r="W141" s="126"/>
      <c r="X141" s="125">
        <f t="shared" si="21"/>
        <v>0</v>
      </c>
      <c r="Y141" s="123"/>
      <c r="Z141" s="123"/>
      <c r="AA141" s="123"/>
      <c r="AB141" s="123"/>
      <c r="AC141" s="123"/>
      <c r="AD141" s="125">
        <f t="shared" si="22"/>
        <v>0</v>
      </c>
      <c r="AE141" s="123"/>
      <c r="AF141" s="123">
        <v>0</v>
      </c>
      <c r="AG141" s="123"/>
      <c r="AH141" s="123"/>
      <c r="AI141" s="123"/>
      <c r="AJ141" s="123"/>
      <c r="AK141" s="123"/>
      <c r="AL141" s="123"/>
      <c r="AM141" s="125">
        <f t="shared" si="20"/>
        <v>0</v>
      </c>
      <c r="AN141" s="128"/>
    </row>
    <row r="142" spans="1:56" x14ac:dyDescent="0.25">
      <c r="A142" s="366"/>
      <c r="B142" s="369"/>
      <c r="C142" s="122" t="s">
        <v>58</v>
      </c>
      <c r="D142" s="163"/>
      <c r="E142" s="164">
        <v>3</v>
      </c>
      <c r="F142" s="163"/>
      <c r="G142" s="163"/>
      <c r="H142" s="163"/>
      <c r="I142" s="126"/>
      <c r="J142" s="163"/>
      <c r="K142" s="163"/>
      <c r="L142" s="163"/>
      <c r="M142" s="163"/>
      <c r="N142" s="163"/>
      <c r="O142" s="163"/>
      <c r="P142" s="125">
        <f t="shared" si="23"/>
        <v>3</v>
      </c>
      <c r="Q142" s="126"/>
      <c r="R142" s="126"/>
      <c r="S142" s="126"/>
      <c r="T142" s="126"/>
      <c r="U142" s="126"/>
      <c r="V142" s="163"/>
      <c r="W142" s="126"/>
      <c r="X142" s="125">
        <f t="shared" si="21"/>
        <v>0</v>
      </c>
      <c r="Y142" s="163"/>
      <c r="Z142" s="163"/>
      <c r="AA142" s="163"/>
      <c r="AB142" s="163"/>
      <c r="AC142" s="163"/>
      <c r="AD142" s="125">
        <f t="shared" si="22"/>
        <v>0</v>
      </c>
      <c r="AE142" s="163"/>
      <c r="AF142" s="163"/>
      <c r="AG142" s="163"/>
      <c r="AH142" s="163"/>
      <c r="AI142" s="163"/>
      <c r="AJ142" s="163"/>
      <c r="AK142" s="163"/>
      <c r="AL142" s="163"/>
      <c r="AM142" s="125">
        <f t="shared" si="20"/>
        <v>0</v>
      </c>
      <c r="AN142" s="165"/>
    </row>
    <row r="143" spans="1:56" x14ac:dyDescent="0.25">
      <c r="A143" s="366"/>
      <c r="B143" s="369"/>
      <c r="C143" s="122" t="s">
        <v>59</v>
      </c>
      <c r="D143" s="123"/>
      <c r="E143" s="123"/>
      <c r="F143" s="123"/>
      <c r="G143" s="123"/>
      <c r="H143" s="123"/>
      <c r="I143" s="126"/>
      <c r="J143" s="123"/>
      <c r="K143" s="123"/>
      <c r="L143" s="123"/>
      <c r="M143" s="123"/>
      <c r="N143" s="123"/>
      <c r="O143" s="123"/>
      <c r="P143" s="125">
        <f t="shared" si="23"/>
        <v>0</v>
      </c>
      <c r="Q143" s="126"/>
      <c r="R143" s="126"/>
      <c r="S143" s="126"/>
      <c r="T143" s="126"/>
      <c r="U143" s="126"/>
      <c r="V143" s="126"/>
      <c r="W143" s="126"/>
      <c r="X143" s="125">
        <f t="shared" si="21"/>
        <v>0</v>
      </c>
      <c r="Y143" s="123"/>
      <c r="Z143" s="123"/>
      <c r="AA143" s="123"/>
      <c r="AB143" s="123"/>
      <c r="AC143" s="123"/>
      <c r="AD143" s="125">
        <f t="shared" si="22"/>
        <v>0</v>
      </c>
      <c r="AE143" s="123"/>
      <c r="AF143" s="123"/>
      <c r="AG143" s="123"/>
      <c r="AH143" s="123"/>
      <c r="AI143" s="123"/>
      <c r="AJ143" s="123"/>
      <c r="AK143" s="123"/>
      <c r="AL143" s="123"/>
      <c r="AM143" s="125">
        <f t="shared" si="20"/>
        <v>0</v>
      </c>
      <c r="AN143" s="128"/>
    </row>
    <row r="144" spans="1:56" x14ac:dyDescent="0.25">
      <c r="A144" s="366"/>
      <c r="B144" s="369"/>
      <c r="C144" s="122" t="s">
        <v>60</v>
      </c>
      <c r="D144" s="123"/>
      <c r="E144" s="123"/>
      <c r="F144" s="123"/>
      <c r="G144" s="123"/>
      <c r="H144" s="123"/>
      <c r="I144" s="126"/>
      <c r="J144" s="123"/>
      <c r="K144" s="123"/>
      <c r="L144" s="123"/>
      <c r="M144" s="123"/>
      <c r="N144" s="123"/>
      <c r="O144" s="123"/>
      <c r="P144" s="125">
        <f t="shared" si="23"/>
        <v>0</v>
      </c>
      <c r="Q144" s="126"/>
      <c r="R144" s="126"/>
      <c r="S144" s="126"/>
      <c r="T144" s="126"/>
      <c r="U144" s="126"/>
      <c r="V144" s="126"/>
      <c r="W144" s="126"/>
      <c r="X144" s="125">
        <f t="shared" si="21"/>
        <v>0</v>
      </c>
      <c r="Y144" s="123"/>
      <c r="Z144" s="123"/>
      <c r="AA144" s="123"/>
      <c r="AB144" s="123"/>
      <c r="AC144" s="123"/>
      <c r="AD144" s="125">
        <f t="shared" si="22"/>
        <v>0</v>
      </c>
      <c r="AE144" s="123"/>
      <c r="AF144" s="123"/>
      <c r="AG144" s="123"/>
      <c r="AH144" s="123"/>
      <c r="AI144" s="123"/>
      <c r="AJ144" s="123"/>
      <c r="AK144" s="123"/>
      <c r="AL144" s="123"/>
      <c r="AM144" s="125">
        <f t="shared" si="20"/>
        <v>0</v>
      </c>
      <c r="AN144" s="128"/>
    </row>
    <row r="145" spans="1:56" x14ac:dyDescent="0.25">
      <c r="A145" s="366"/>
      <c r="B145" s="369"/>
      <c r="C145" s="122" t="s">
        <v>61</v>
      </c>
      <c r="D145" s="123"/>
      <c r="E145" s="123"/>
      <c r="F145" s="123"/>
      <c r="G145" s="123"/>
      <c r="H145" s="123"/>
      <c r="I145" s="126"/>
      <c r="J145" s="123"/>
      <c r="K145" s="123"/>
      <c r="L145" s="123"/>
      <c r="M145" s="123"/>
      <c r="N145" s="123"/>
      <c r="O145" s="123"/>
      <c r="P145" s="125">
        <f t="shared" si="23"/>
        <v>0</v>
      </c>
      <c r="Q145" s="126"/>
      <c r="R145" s="126"/>
      <c r="S145" s="126"/>
      <c r="T145" s="126"/>
      <c r="U145" s="126"/>
      <c r="V145" s="126"/>
      <c r="W145" s="126"/>
      <c r="X145" s="125">
        <f t="shared" si="21"/>
        <v>0</v>
      </c>
      <c r="Y145" s="123"/>
      <c r="Z145" s="123"/>
      <c r="AA145" s="123"/>
      <c r="AB145" s="123"/>
      <c r="AC145" s="123"/>
      <c r="AD145" s="125">
        <f t="shared" si="22"/>
        <v>0</v>
      </c>
      <c r="AE145" s="123"/>
      <c r="AF145" s="123"/>
      <c r="AG145" s="123"/>
      <c r="AH145" s="123"/>
      <c r="AI145" s="123"/>
      <c r="AJ145" s="123"/>
      <c r="AK145" s="123"/>
      <c r="AL145" s="123"/>
      <c r="AM145" s="125">
        <f t="shared" si="20"/>
        <v>0</v>
      </c>
      <c r="AN145" s="128"/>
    </row>
    <row r="146" spans="1:56" x14ac:dyDescent="0.25">
      <c r="A146" s="366"/>
      <c r="B146" s="369"/>
      <c r="C146" s="122" t="s">
        <v>62</v>
      </c>
      <c r="D146" s="123"/>
      <c r="E146" s="123"/>
      <c r="F146" s="123"/>
      <c r="G146" s="129">
        <v>1</v>
      </c>
      <c r="H146" s="129">
        <v>2</v>
      </c>
      <c r="I146" s="126"/>
      <c r="J146" s="123"/>
      <c r="K146" s="123"/>
      <c r="L146" s="129">
        <v>3</v>
      </c>
      <c r="M146" s="123"/>
      <c r="N146" s="129">
        <v>2</v>
      </c>
      <c r="O146" s="123"/>
      <c r="P146" s="125">
        <f t="shared" si="23"/>
        <v>8</v>
      </c>
      <c r="Q146" s="129">
        <f>9+1</f>
        <v>10</v>
      </c>
      <c r="R146" s="129">
        <v>3</v>
      </c>
      <c r="S146" s="129">
        <v>1</v>
      </c>
      <c r="T146" s="126"/>
      <c r="U146" s="126"/>
      <c r="V146" s="126"/>
      <c r="W146" s="126"/>
      <c r="X146" s="125">
        <f t="shared" si="21"/>
        <v>4</v>
      </c>
      <c r="Y146" s="129">
        <f>1+9+11+6</f>
        <v>27</v>
      </c>
      <c r="Z146" s="123"/>
      <c r="AA146" s="123"/>
      <c r="AB146" s="123"/>
      <c r="AC146" s="123"/>
      <c r="AD146" s="125">
        <f t="shared" si="22"/>
        <v>27</v>
      </c>
      <c r="AE146" s="123"/>
      <c r="AF146" s="123"/>
      <c r="AG146" s="123"/>
      <c r="AH146" s="123"/>
      <c r="AI146" s="123"/>
      <c r="AJ146" s="123"/>
      <c r="AK146" s="123"/>
      <c r="AL146" s="123"/>
      <c r="AM146" s="125">
        <f t="shared" si="20"/>
        <v>31</v>
      </c>
      <c r="AN146" s="138">
        <f>350000000+675000000+1200000000+900000000</f>
        <v>3125000000</v>
      </c>
    </row>
    <row r="147" spans="1:56" x14ac:dyDescent="0.25">
      <c r="A147" s="366"/>
      <c r="B147" s="369"/>
      <c r="C147" s="122" t="s">
        <v>63</v>
      </c>
      <c r="D147" s="123"/>
      <c r="E147" s="129">
        <v>1</v>
      </c>
      <c r="F147" s="123"/>
      <c r="G147" s="123"/>
      <c r="H147" s="123"/>
      <c r="I147" s="126"/>
      <c r="J147" s="123"/>
      <c r="K147" s="123"/>
      <c r="L147" s="123"/>
      <c r="M147" s="123"/>
      <c r="N147" s="129">
        <v>1</v>
      </c>
      <c r="O147" s="129">
        <v>2</v>
      </c>
      <c r="P147" s="125">
        <f t="shared" si="23"/>
        <v>4</v>
      </c>
      <c r="Q147" s="129">
        <v>15</v>
      </c>
      <c r="R147" s="126"/>
      <c r="S147" s="126"/>
      <c r="T147" s="126"/>
      <c r="U147" s="126"/>
      <c r="V147" s="126"/>
      <c r="W147" s="126"/>
      <c r="X147" s="125">
        <f t="shared" si="21"/>
        <v>0</v>
      </c>
      <c r="Y147" s="129">
        <f>1+17+15</f>
        <v>33</v>
      </c>
      <c r="Z147" s="123"/>
      <c r="AA147" s="123"/>
      <c r="AB147" s="123"/>
      <c r="AC147" s="123"/>
      <c r="AD147" s="125">
        <f t="shared" si="22"/>
        <v>33</v>
      </c>
      <c r="AE147" s="123"/>
      <c r="AF147" s="123"/>
      <c r="AG147" s="123"/>
      <c r="AH147" s="123"/>
      <c r="AI147" s="123"/>
      <c r="AJ147" s="123"/>
      <c r="AK147" s="123"/>
      <c r="AL147" s="123"/>
      <c r="AM147" s="125">
        <f t="shared" si="20"/>
        <v>33</v>
      </c>
      <c r="AN147" s="138">
        <f>2000000+108000000+150000000</f>
        <v>260000000</v>
      </c>
    </row>
    <row r="148" spans="1:56" x14ac:dyDescent="0.25">
      <c r="A148" s="366"/>
      <c r="B148" s="369"/>
      <c r="C148" s="122" t="s">
        <v>64</v>
      </c>
      <c r="D148" s="123"/>
      <c r="E148" s="123"/>
      <c r="F148" s="123"/>
      <c r="G148" s="123"/>
      <c r="H148" s="123"/>
      <c r="I148" s="126"/>
      <c r="J148" s="123"/>
      <c r="K148" s="123"/>
      <c r="L148" s="123"/>
      <c r="M148" s="123"/>
      <c r="N148" s="123"/>
      <c r="O148" s="123"/>
      <c r="P148" s="125">
        <f t="shared" si="23"/>
        <v>0</v>
      </c>
      <c r="Q148" s="126"/>
      <c r="R148" s="126"/>
      <c r="S148" s="126"/>
      <c r="T148" s="126"/>
      <c r="U148" s="126"/>
      <c r="V148" s="126"/>
      <c r="W148" s="126"/>
      <c r="X148" s="125">
        <f t="shared" si="21"/>
        <v>0</v>
      </c>
      <c r="Y148" s="123"/>
      <c r="Z148" s="123"/>
      <c r="AA148" s="123"/>
      <c r="AB148" s="123"/>
      <c r="AC148" s="123"/>
      <c r="AD148" s="125">
        <f t="shared" si="22"/>
        <v>0</v>
      </c>
      <c r="AE148" s="123"/>
      <c r="AF148" s="123"/>
      <c r="AG148" s="123"/>
      <c r="AH148" s="123"/>
      <c r="AI148" s="123"/>
      <c r="AJ148" s="123"/>
      <c r="AK148" s="123"/>
      <c r="AL148" s="123"/>
      <c r="AM148" s="125">
        <f t="shared" ref="AM148:AM211" si="24">SUM(AD148,X148)</f>
        <v>0</v>
      </c>
      <c r="AN148" s="128"/>
    </row>
    <row r="149" spans="1:56" x14ac:dyDescent="0.25">
      <c r="A149" s="366"/>
      <c r="B149" s="369"/>
      <c r="C149" s="140" t="s">
        <v>65</v>
      </c>
      <c r="D149" s="123"/>
      <c r="E149" s="123"/>
      <c r="F149" s="123"/>
      <c r="G149" s="123"/>
      <c r="H149" s="123"/>
      <c r="I149" s="126"/>
      <c r="J149" s="123"/>
      <c r="K149" s="123"/>
      <c r="L149" s="123"/>
      <c r="M149" s="123"/>
      <c r="N149" s="123"/>
      <c r="O149" s="123"/>
      <c r="P149" s="125">
        <f t="shared" si="23"/>
        <v>0</v>
      </c>
      <c r="Q149" s="126"/>
      <c r="R149" s="126"/>
      <c r="S149" s="126"/>
      <c r="T149" s="126"/>
      <c r="U149" s="126"/>
      <c r="V149" s="126"/>
      <c r="W149" s="126"/>
      <c r="X149" s="125">
        <f t="shared" si="21"/>
        <v>0</v>
      </c>
      <c r="Y149" s="123"/>
      <c r="Z149" s="123"/>
      <c r="AA149" s="123"/>
      <c r="AB149" s="123"/>
      <c r="AC149" s="123"/>
      <c r="AD149" s="125">
        <f t="shared" si="22"/>
        <v>0</v>
      </c>
      <c r="AE149" s="123"/>
      <c r="AF149" s="123"/>
      <c r="AG149" s="123"/>
      <c r="AH149" s="123"/>
      <c r="AI149" s="123"/>
      <c r="AJ149" s="123"/>
      <c r="AK149" s="123"/>
      <c r="AL149" s="123"/>
      <c r="AM149" s="125">
        <f t="shared" si="24"/>
        <v>0</v>
      </c>
      <c r="AN149" s="128"/>
    </row>
    <row r="150" spans="1:56" x14ac:dyDescent="0.25">
      <c r="A150" s="366"/>
      <c r="B150" s="369"/>
      <c r="C150" s="147" t="s">
        <v>66</v>
      </c>
      <c r="D150" s="123"/>
      <c r="E150" s="123"/>
      <c r="F150" s="123"/>
      <c r="G150" s="123"/>
      <c r="H150" s="123"/>
      <c r="I150" s="126"/>
      <c r="J150" s="123"/>
      <c r="K150" s="123"/>
      <c r="L150" s="123"/>
      <c r="M150" s="123"/>
      <c r="N150" s="123"/>
      <c r="O150" s="123"/>
      <c r="P150" s="125">
        <f t="shared" si="23"/>
        <v>0</v>
      </c>
      <c r="Q150" s="126"/>
      <c r="R150" s="126"/>
      <c r="S150" s="126"/>
      <c r="T150" s="126"/>
      <c r="U150" s="126"/>
      <c r="V150" s="126"/>
      <c r="W150" s="126"/>
      <c r="X150" s="125">
        <f t="shared" si="21"/>
        <v>0</v>
      </c>
      <c r="Y150" s="123"/>
      <c r="Z150" s="123"/>
      <c r="AA150" s="123"/>
      <c r="AB150" s="123"/>
      <c r="AC150" s="123"/>
      <c r="AD150" s="125">
        <f t="shared" si="22"/>
        <v>0</v>
      </c>
      <c r="AE150" s="123"/>
      <c r="AF150" s="123"/>
      <c r="AG150" s="123"/>
      <c r="AH150" s="123"/>
      <c r="AI150" s="123"/>
      <c r="AJ150" s="123"/>
      <c r="AK150" s="123"/>
      <c r="AL150" s="123"/>
      <c r="AM150" s="125">
        <f t="shared" si="24"/>
        <v>0</v>
      </c>
      <c r="AN150" s="128"/>
    </row>
    <row r="151" spans="1:56" s="217" customFormat="1" x14ac:dyDescent="0.25">
      <c r="A151" s="367"/>
      <c r="B151" s="370"/>
      <c r="C151" s="221" t="s">
        <v>67</v>
      </c>
      <c r="D151" s="214"/>
      <c r="E151" s="214"/>
      <c r="F151" s="214"/>
      <c r="G151" s="214"/>
      <c r="H151" s="214"/>
      <c r="I151" s="222"/>
      <c r="J151" s="214"/>
      <c r="K151" s="214"/>
      <c r="L151" s="214"/>
      <c r="M151" s="214"/>
      <c r="N151" s="214"/>
      <c r="O151" s="214"/>
      <c r="P151" s="215">
        <f t="shared" si="23"/>
        <v>0</v>
      </c>
      <c r="Q151" s="222"/>
      <c r="R151" s="222"/>
      <c r="S151" s="222"/>
      <c r="T151" s="222"/>
      <c r="U151" s="222"/>
      <c r="V151" s="222"/>
      <c r="W151" s="222"/>
      <c r="X151" s="215">
        <f t="shared" si="21"/>
        <v>0</v>
      </c>
      <c r="Y151" s="214"/>
      <c r="Z151" s="214"/>
      <c r="AA151" s="214"/>
      <c r="AB151" s="214"/>
      <c r="AC151" s="214"/>
      <c r="AD151" s="215">
        <f t="shared" si="22"/>
        <v>0</v>
      </c>
      <c r="AE151" s="214"/>
      <c r="AF151" s="214"/>
      <c r="AG151" s="214"/>
      <c r="AH151" s="214"/>
      <c r="AI151" s="214"/>
      <c r="AJ151" s="214"/>
      <c r="AK151" s="214"/>
      <c r="AL151" s="214"/>
      <c r="AM151" s="215">
        <f t="shared" si="24"/>
        <v>0</v>
      </c>
      <c r="AN151" s="216"/>
      <c r="AP151" s="218"/>
      <c r="AQ151" s="218"/>
      <c r="AR151" s="218"/>
      <c r="AS151" s="218"/>
      <c r="AT151" s="218"/>
      <c r="AU151" s="218"/>
      <c r="AV151" s="218"/>
      <c r="AW151" s="218"/>
      <c r="AX151" s="218"/>
      <c r="AY151" s="218"/>
      <c r="AZ151" s="218"/>
      <c r="BA151" s="218"/>
      <c r="BB151" s="218"/>
      <c r="BC151" s="218"/>
      <c r="BD151" s="224"/>
    </row>
    <row r="152" spans="1:56" s="83" customFormat="1" x14ac:dyDescent="0.25">
      <c r="A152" s="365">
        <v>13</v>
      </c>
      <c r="B152" s="368" t="s">
        <v>29</v>
      </c>
      <c r="C152" s="143" t="s">
        <v>56</v>
      </c>
      <c r="D152" s="176"/>
      <c r="E152" s="208">
        <v>1</v>
      </c>
      <c r="F152" s="176"/>
      <c r="G152" s="176"/>
      <c r="H152" s="208">
        <v>2</v>
      </c>
      <c r="I152" s="207"/>
      <c r="J152" s="176"/>
      <c r="K152" s="176"/>
      <c r="L152" s="176"/>
      <c r="M152" s="176"/>
      <c r="N152" s="176"/>
      <c r="O152" s="176"/>
      <c r="P152" s="209">
        <f t="shared" si="23"/>
        <v>3</v>
      </c>
      <c r="Q152" s="208">
        <f>7824+106</f>
        <v>7930</v>
      </c>
      <c r="R152" s="176"/>
      <c r="S152" s="207"/>
      <c r="T152" s="207"/>
      <c r="U152" s="207"/>
      <c r="V152" s="208">
        <f>22941+170</f>
        <v>23111</v>
      </c>
      <c r="W152" s="207"/>
      <c r="X152" s="209">
        <f t="shared" si="21"/>
        <v>23111</v>
      </c>
      <c r="Y152" s="208">
        <f>6336+48</f>
        <v>6384</v>
      </c>
      <c r="Z152" s="208">
        <f>45+1</f>
        <v>46</v>
      </c>
      <c r="AA152" s="208">
        <v>27</v>
      </c>
      <c r="AB152" s="208">
        <v>11</v>
      </c>
      <c r="AC152" s="208">
        <v>5</v>
      </c>
      <c r="AD152" s="209">
        <f t="shared" si="22"/>
        <v>6473</v>
      </c>
      <c r="AE152" s="208">
        <f>5479+100</f>
        <v>5579</v>
      </c>
      <c r="AF152" s="208">
        <v>3930</v>
      </c>
      <c r="AG152" s="176"/>
      <c r="AH152" s="208">
        <v>2420</v>
      </c>
      <c r="AI152" s="176"/>
      <c r="AJ152" s="176"/>
      <c r="AK152" s="176"/>
      <c r="AL152" s="176"/>
      <c r="AM152" s="209">
        <f t="shared" si="24"/>
        <v>29584</v>
      </c>
      <c r="AN152" s="219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 s="88"/>
    </row>
    <row r="153" spans="1:56" x14ac:dyDescent="0.25">
      <c r="A153" s="366"/>
      <c r="B153" s="369"/>
      <c r="C153" s="122" t="s">
        <v>57</v>
      </c>
      <c r="D153" s="123"/>
      <c r="E153" s="123"/>
      <c r="F153" s="123"/>
      <c r="G153" s="123"/>
      <c r="H153" s="123"/>
      <c r="I153" s="126"/>
      <c r="J153" s="123"/>
      <c r="K153" s="123"/>
      <c r="L153" s="123"/>
      <c r="M153" s="123"/>
      <c r="N153" s="123"/>
      <c r="O153" s="123"/>
      <c r="P153" s="125">
        <f t="shared" si="23"/>
        <v>0</v>
      </c>
      <c r="Q153" s="126"/>
      <c r="R153" s="126"/>
      <c r="S153" s="126"/>
      <c r="T153" s="126"/>
      <c r="U153" s="126"/>
      <c r="V153" s="126"/>
      <c r="W153" s="126"/>
      <c r="X153" s="125">
        <f t="shared" si="21"/>
        <v>0</v>
      </c>
      <c r="Y153" s="123"/>
      <c r="Z153" s="123"/>
      <c r="AA153" s="123"/>
      <c r="AB153" s="123"/>
      <c r="AC153" s="123"/>
      <c r="AD153" s="125">
        <f t="shared" si="22"/>
        <v>0</v>
      </c>
      <c r="AE153" s="123"/>
      <c r="AF153" s="123">
        <v>0</v>
      </c>
      <c r="AG153" s="123"/>
      <c r="AH153" s="123"/>
      <c r="AI153" s="123"/>
      <c r="AJ153" s="123"/>
      <c r="AK153" s="123"/>
      <c r="AL153" s="123"/>
      <c r="AM153" s="125">
        <f t="shared" si="24"/>
        <v>0</v>
      </c>
      <c r="AN153" s="128"/>
    </row>
    <row r="154" spans="1:56" x14ac:dyDescent="0.25">
      <c r="A154" s="366"/>
      <c r="B154" s="369"/>
      <c r="C154" s="122" t="s">
        <v>58</v>
      </c>
      <c r="D154" s="123"/>
      <c r="E154" s="123"/>
      <c r="F154" s="123"/>
      <c r="G154" s="123"/>
      <c r="H154" s="123"/>
      <c r="I154" s="126"/>
      <c r="J154" s="123"/>
      <c r="K154" s="123"/>
      <c r="L154" s="129">
        <v>1</v>
      </c>
      <c r="M154" s="123"/>
      <c r="N154" s="123"/>
      <c r="O154" s="123"/>
      <c r="P154" s="125">
        <f t="shared" si="23"/>
        <v>1</v>
      </c>
      <c r="Q154" s="129">
        <v>1</v>
      </c>
      <c r="R154" s="126"/>
      <c r="S154" s="126"/>
      <c r="T154" s="126"/>
      <c r="U154" s="126"/>
      <c r="V154" s="126"/>
      <c r="W154" s="126"/>
      <c r="X154" s="125">
        <f t="shared" si="21"/>
        <v>0</v>
      </c>
      <c r="Y154" s="129">
        <v>1</v>
      </c>
      <c r="Z154" s="129">
        <v>1</v>
      </c>
      <c r="AA154" s="123"/>
      <c r="AB154" s="123"/>
      <c r="AC154" s="123"/>
      <c r="AD154" s="125">
        <f t="shared" si="22"/>
        <v>2</v>
      </c>
      <c r="AE154" s="123"/>
      <c r="AF154" s="123"/>
      <c r="AG154" s="123"/>
      <c r="AH154" s="123"/>
      <c r="AI154" s="123"/>
      <c r="AJ154" s="123"/>
      <c r="AK154" s="123"/>
      <c r="AL154" s="123"/>
      <c r="AM154" s="125">
        <f t="shared" si="24"/>
        <v>2</v>
      </c>
      <c r="AN154" s="128"/>
    </row>
    <row r="155" spans="1:56" x14ac:dyDescent="0.25">
      <c r="A155" s="366"/>
      <c r="B155" s="369"/>
      <c r="C155" s="122" t="s">
        <v>59</v>
      </c>
      <c r="D155" s="123"/>
      <c r="E155" s="123"/>
      <c r="F155" s="123"/>
      <c r="G155" s="123"/>
      <c r="H155" s="123"/>
      <c r="I155" s="126"/>
      <c r="J155" s="123"/>
      <c r="K155" s="123"/>
      <c r="L155" s="123"/>
      <c r="M155" s="123"/>
      <c r="N155" s="123"/>
      <c r="O155" s="123"/>
      <c r="P155" s="125">
        <f t="shared" si="23"/>
        <v>0</v>
      </c>
      <c r="Q155" s="126"/>
      <c r="R155" s="126"/>
      <c r="S155" s="126"/>
      <c r="T155" s="126"/>
      <c r="U155" s="126"/>
      <c r="V155" s="126"/>
      <c r="W155" s="126"/>
      <c r="X155" s="125">
        <f t="shared" si="21"/>
        <v>0</v>
      </c>
      <c r="Y155" s="123"/>
      <c r="Z155" s="123"/>
      <c r="AA155" s="123"/>
      <c r="AB155" s="123"/>
      <c r="AC155" s="123"/>
      <c r="AD155" s="125">
        <f t="shared" si="22"/>
        <v>0</v>
      </c>
      <c r="AE155" s="123"/>
      <c r="AF155" s="123"/>
      <c r="AG155" s="123"/>
      <c r="AH155" s="123"/>
      <c r="AI155" s="123"/>
      <c r="AJ155" s="123"/>
      <c r="AK155" s="123"/>
      <c r="AL155" s="123"/>
      <c r="AM155" s="125">
        <f t="shared" si="24"/>
        <v>0</v>
      </c>
      <c r="AN155" s="128"/>
    </row>
    <row r="156" spans="1:56" x14ac:dyDescent="0.25">
      <c r="A156" s="366"/>
      <c r="B156" s="369"/>
      <c r="C156" s="122" t="s">
        <v>60</v>
      </c>
      <c r="D156" s="123"/>
      <c r="E156" s="123"/>
      <c r="F156" s="123"/>
      <c r="G156" s="123"/>
      <c r="H156" s="123"/>
      <c r="I156" s="126"/>
      <c r="J156" s="123"/>
      <c r="K156" s="123"/>
      <c r="L156" s="123"/>
      <c r="M156" s="123"/>
      <c r="N156" s="123"/>
      <c r="O156" s="123"/>
      <c r="P156" s="125">
        <f t="shared" si="23"/>
        <v>0</v>
      </c>
      <c r="Q156" s="126"/>
      <c r="R156" s="126"/>
      <c r="S156" s="126"/>
      <c r="T156" s="126"/>
      <c r="U156" s="126"/>
      <c r="V156" s="126"/>
      <c r="W156" s="126"/>
      <c r="X156" s="125">
        <f t="shared" si="21"/>
        <v>0</v>
      </c>
      <c r="Y156" s="123"/>
      <c r="Z156" s="123"/>
      <c r="AA156" s="123"/>
      <c r="AB156" s="123"/>
      <c r="AC156" s="123"/>
      <c r="AD156" s="125">
        <f t="shared" si="22"/>
        <v>0</v>
      </c>
      <c r="AE156" s="123"/>
      <c r="AF156" s="123"/>
      <c r="AG156" s="123"/>
      <c r="AH156" s="123"/>
      <c r="AI156" s="123"/>
      <c r="AJ156" s="123"/>
      <c r="AK156" s="123"/>
      <c r="AL156" s="123"/>
      <c r="AM156" s="125">
        <f t="shared" si="24"/>
        <v>0</v>
      </c>
      <c r="AN156" s="128"/>
    </row>
    <row r="157" spans="1:56" x14ac:dyDescent="0.25">
      <c r="A157" s="366"/>
      <c r="B157" s="369"/>
      <c r="C157" s="122" t="s">
        <v>61</v>
      </c>
      <c r="D157" s="123"/>
      <c r="E157" s="123"/>
      <c r="F157" s="123"/>
      <c r="G157" s="123"/>
      <c r="H157" s="123"/>
      <c r="I157" s="126"/>
      <c r="J157" s="123"/>
      <c r="K157" s="123"/>
      <c r="L157" s="123"/>
      <c r="M157" s="123"/>
      <c r="N157" s="123"/>
      <c r="O157" s="123"/>
      <c r="P157" s="125">
        <f t="shared" si="23"/>
        <v>0</v>
      </c>
      <c r="Q157" s="126"/>
      <c r="R157" s="126"/>
      <c r="S157" s="126"/>
      <c r="T157" s="126"/>
      <c r="U157" s="126"/>
      <c r="V157" s="126"/>
      <c r="W157" s="126"/>
      <c r="X157" s="125">
        <f t="shared" si="21"/>
        <v>0</v>
      </c>
      <c r="Y157" s="123"/>
      <c r="Z157" s="123"/>
      <c r="AA157" s="123"/>
      <c r="AB157" s="123"/>
      <c r="AC157" s="123"/>
      <c r="AD157" s="125">
        <f t="shared" si="22"/>
        <v>0</v>
      </c>
      <c r="AE157" s="123"/>
      <c r="AF157" s="123"/>
      <c r="AG157" s="123"/>
      <c r="AH157" s="123"/>
      <c r="AI157" s="123"/>
      <c r="AJ157" s="123"/>
      <c r="AK157" s="123"/>
      <c r="AL157" s="123"/>
      <c r="AM157" s="125">
        <f t="shared" si="24"/>
        <v>0</v>
      </c>
      <c r="AN157" s="128"/>
    </row>
    <row r="158" spans="1:56" x14ac:dyDescent="0.25">
      <c r="A158" s="366"/>
      <c r="B158" s="369"/>
      <c r="C158" s="122" t="s">
        <v>62</v>
      </c>
      <c r="D158" s="129">
        <v>1</v>
      </c>
      <c r="E158" s="123"/>
      <c r="F158" s="129">
        <v>2</v>
      </c>
      <c r="G158" s="129">
        <v>1</v>
      </c>
      <c r="H158" s="129">
        <v>2</v>
      </c>
      <c r="I158" s="129">
        <v>1</v>
      </c>
      <c r="J158" s="129">
        <v>4</v>
      </c>
      <c r="K158" s="129">
        <v>3</v>
      </c>
      <c r="L158" s="129">
        <v>6</v>
      </c>
      <c r="M158" s="129">
        <v>4</v>
      </c>
      <c r="N158" s="129">
        <v>1</v>
      </c>
      <c r="O158" s="129">
        <v>3</v>
      </c>
      <c r="P158" s="125">
        <f t="shared" si="23"/>
        <v>28</v>
      </c>
      <c r="Q158" s="129">
        <f>5+6+7+10+12+2</f>
        <v>42</v>
      </c>
      <c r="R158" s="129">
        <v>1</v>
      </c>
      <c r="S158" s="123"/>
      <c r="T158" s="123"/>
      <c r="U158" s="123"/>
      <c r="V158" s="129">
        <v>4</v>
      </c>
      <c r="W158" s="129">
        <f>4+2</f>
        <v>6</v>
      </c>
      <c r="X158" s="125">
        <f t="shared" si="21"/>
        <v>11</v>
      </c>
      <c r="Y158" s="129">
        <f>7+5+6+6+9+11+14+7+2+6</f>
        <v>73</v>
      </c>
      <c r="Z158" s="123"/>
      <c r="AA158" s="123"/>
      <c r="AB158" s="123"/>
      <c r="AC158" s="123"/>
      <c r="AD158" s="125">
        <f t="shared" si="22"/>
        <v>73</v>
      </c>
      <c r="AE158" s="123"/>
      <c r="AF158" s="123"/>
      <c r="AG158" s="123"/>
      <c r="AH158" s="123"/>
      <c r="AI158" s="123"/>
      <c r="AJ158" s="123"/>
      <c r="AK158" s="123"/>
      <c r="AL158" s="123"/>
      <c r="AM158" s="125">
        <f t="shared" si="24"/>
        <v>84</v>
      </c>
      <c r="AN158" s="128"/>
    </row>
    <row r="159" spans="1:56" x14ac:dyDescent="0.25">
      <c r="A159" s="366"/>
      <c r="B159" s="369"/>
      <c r="C159" s="122" t="s">
        <v>63</v>
      </c>
      <c r="D159" s="129">
        <v>5</v>
      </c>
      <c r="E159" s="123"/>
      <c r="F159" s="129">
        <v>2</v>
      </c>
      <c r="G159" s="123"/>
      <c r="H159" s="123"/>
      <c r="I159" s="123"/>
      <c r="J159" s="129">
        <v>2</v>
      </c>
      <c r="K159" s="123"/>
      <c r="L159" s="129">
        <v>2</v>
      </c>
      <c r="M159" s="129">
        <v>1</v>
      </c>
      <c r="N159" s="129">
        <v>2</v>
      </c>
      <c r="O159" s="129">
        <v>1</v>
      </c>
      <c r="P159" s="125">
        <f t="shared" si="23"/>
        <v>15</v>
      </c>
      <c r="Q159" s="129">
        <f>252+2+2+3</f>
        <v>259</v>
      </c>
      <c r="R159" s="123"/>
      <c r="S159" s="123"/>
      <c r="T159" s="123"/>
      <c r="U159" s="123"/>
      <c r="V159" s="129">
        <f>257+4+8</f>
        <v>269</v>
      </c>
      <c r="W159" s="129">
        <f>2+3</f>
        <v>5</v>
      </c>
      <c r="X159" s="125">
        <f t="shared" si="21"/>
        <v>274</v>
      </c>
      <c r="Y159" s="129">
        <f>2+1+2+3+2+1</f>
        <v>11</v>
      </c>
      <c r="Z159" s="123"/>
      <c r="AA159" s="123"/>
      <c r="AB159" s="123"/>
      <c r="AC159" s="123"/>
      <c r="AD159" s="125">
        <f t="shared" si="22"/>
        <v>11</v>
      </c>
      <c r="AE159" s="123"/>
      <c r="AF159" s="123"/>
      <c r="AG159" s="123"/>
      <c r="AH159" s="123"/>
      <c r="AI159" s="123"/>
      <c r="AJ159" s="123"/>
      <c r="AK159" s="123"/>
      <c r="AL159" s="123"/>
      <c r="AM159" s="125">
        <f t="shared" si="24"/>
        <v>285</v>
      </c>
      <c r="AN159" s="138">
        <f>10000000+2000000+7000000+2000000+9000000+10000000</f>
        <v>40000000</v>
      </c>
    </row>
    <row r="160" spans="1:56" x14ac:dyDescent="0.25">
      <c r="A160" s="366"/>
      <c r="B160" s="369"/>
      <c r="C160" s="122" t="s">
        <v>64</v>
      </c>
      <c r="D160" s="123"/>
      <c r="E160" s="123"/>
      <c r="F160" s="123"/>
      <c r="G160" s="123"/>
      <c r="H160" s="123"/>
      <c r="I160" s="126"/>
      <c r="J160" s="123"/>
      <c r="K160" s="123"/>
      <c r="L160" s="123"/>
      <c r="M160" s="123"/>
      <c r="N160" s="123"/>
      <c r="O160" s="123"/>
      <c r="P160" s="125">
        <f t="shared" si="23"/>
        <v>0</v>
      </c>
      <c r="Q160" s="126"/>
      <c r="R160" s="126"/>
      <c r="S160" s="126"/>
      <c r="T160" s="126"/>
      <c r="U160" s="126"/>
      <c r="V160" s="126"/>
      <c r="W160" s="126"/>
      <c r="X160" s="125">
        <f t="shared" si="21"/>
        <v>0</v>
      </c>
      <c r="Y160" s="123"/>
      <c r="Z160" s="123"/>
      <c r="AA160" s="123"/>
      <c r="AB160" s="123"/>
      <c r="AC160" s="123"/>
      <c r="AD160" s="125">
        <f t="shared" si="22"/>
        <v>0</v>
      </c>
      <c r="AE160" s="123"/>
      <c r="AF160" s="123"/>
      <c r="AG160" s="123"/>
      <c r="AH160" s="123"/>
      <c r="AI160" s="123"/>
      <c r="AJ160" s="123"/>
      <c r="AK160" s="123"/>
      <c r="AL160" s="123"/>
      <c r="AM160" s="125">
        <f t="shared" si="24"/>
        <v>0</v>
      </c>
      <c r="AN160" s="128"/>
    </row>
    <row r="161" spans="1:56" x14ac:dyDescent="0.25">
      <c r="A161" s="366"/>
      <c r="B161" s="369"/>
      <c r="C161" s="140" t="s">
        <v>65</v>
      </c>
      <c r="D161" s="123"/>
      <c r="E161" s="123"/>
      <c r="F161" s="123"/>
      <c r="G161" s="123"/>
      <c r="H161" s="123"/>
      <c r="I161" s="126"/>
      <c r="J161" s="123"/>
      <c r="K161" s="123"/>
      <c r="L161" s="123"/>
      <c r="M161" s="123"/>
      <c r="N161" s="123"/>
      <c r="O161" s="123"/>
      <c r="P161" s="125">
        <f t="shared" si="23"/>
        <v>0</v>
      </c>
      <c r="Q161" s="126"/>
      <c r="R161" s="126"/>
      <c r="S161" s="126"/>
      <c r="T161" s="126"/>
      <c r="U161" s="126"/>
      <c r="V161" s="126"/>
      <c r="W161" s="126"/>
      <c r="X161" s="125">
        <f t="shared" si="21"/>
        <v>0</v>
      </c>
      <c r="Y161" s="123"/>
      <c r="Z161" s="123"/>
      <c r="AA161" s="123"/>
      <c r="AB161" s="123"/>
      <c r="AC161" s="123"/>
      <c r="AD161" s="125">
        <f t="shared" si="22"/>
        <v>0</v>
      </c>
      <c r="AE161" s="123"/>
      <c r="AF161" s="123"/>
      <c r="AG161" s="123"/>
      <c r="AH161" s="123"/>
      <c r="AI161" s="123"/>
      <c r="AJ161" s="123"/>
      <c r="AK161" s="123"/>
      <c r="AL161" s="123"/>
      <c r="AM161" s="125">
        <f t="shared" si="24"/>
        <v>0</v>
      </c>
      <c r="AN161" s="128"/>
    </row>
    <row r="162" spans="1:56" x14ac:dyDescent="0.25">
      <c r="A162" s="366"/>
      <c r="B162" s="369"/>
      <c r="C162" s="147" t="s">
        <v>66</v>
      </c>
      <c r="D162" s="123"/>
      <c r="E162" s="123"/>
      <c r="F162" s="123"/>
      <c r="G162" s="123"/>
      <c r="H162" s="123"/>
      <c r="I162" s="126"/>
      <c r="J162" s="123"/>
      <c r="K162" s="123"/>
      <c r="L162" s="129">
        <v>2</v>
      </c>
      <c r="M162" s="129">
        <v>1</v>
      </c>
      <c r="N162" s="123"/>
      <c r="O162" s="123"/>
      <c r="P162" s="125">
        <f t="shared" si="23"/>
        <v>3</v>
      </c>
      <c r="Q162" s="126"/>
      <c r="R162" s="129">
        <v>1</v>
      </c>
      <c r="S162" s="126"/>
      <c r="T162" s="126"/>
      <c r="U162" s="126"/>
      <c r="V162" s="126"/>
      <c r="W162" s="126"/>
      <c r="X162" s="125">
        <f t="shared" si="21"/>
        <v>1</v>
      </c>
      <c r="Y162" s="123"/>
      <c r="Z162" s="123"/>
      <c r="AA162" s="123"/>
      <c r="AB162" s="123"/>
      <c r="AC162" s="123"/>
      <c r="AD162" s="125">
        <f t="shared" si="22"/>
        <v>0</v>
      </c>
      <c r="AE162" s="123"/>
      <c r="AF162" s="123"/>
      <c r="AG162" s="123"/>
      <c r="AH162" s="123"/>
      <c r="AI162" s="123"/>
      <c r="AJ162" s="123"/>
      <c r="AK162" s="123"/>
      <c r="AL162" s="123"/>
      <c r="AM162" s="125">
        <f t="shared" si="24"/>
        <v>1</v>
      </c>
      <c r="AN162" s="128"/>
    </row>
    <row r="163" spans="1:56" s="218" customFormat="1" x14ac:dyDescent="0.25">
      <c r="A163" s="367"/>
      <c r="B163" s="370"/>
      <c r="C163" s="221" t="s">
        <v>67</v>
      </c>
      <c r="D163" s="214"/>
      <c r="E163" s="214"/>
      <c r="F163" s="214"/>
      <c r="G163" s="214"/>
      <c r="H163" s="214"/>
      <c r="I163" s="222"/>
      <c r="J163" s="214"/>
      <c r="K163" s="214"/>
      <c r="L163" s="223">
        <v>1</v>
      </c>
      <c r="M163" s="214"/>
      <c r="N163" s="214"/>
      <c r="O163" s="214"/>
      <c r="P163" s="215">
        <f t="shared" si="23"/>
        <v>1</v>
      </c>
      <c r="Q163" s="222"/>
      <c r="R163" s="222"/>
      <c r="S163" s="222"/>
      <c r="T163" s="222"/>
      <c r="U163" s="222"/>
      <c r="V163" s="223">
        <v>10417</v>
      </c>
      <c r="W163" s="222"/>
      <c r="X163" s="215">
        <f t="shared" si="21"/>
        <v>10417</v>
      </c>
      <c r="Y163" s="214"/>
      <c r="Z163" s="214"/>
      <c r="AA163" s="214"/>
      <c r="AB163" s="214"/>
      <c r="AC163" s="214"/>
      <c r="AD163" s="215">
        <f t="shared" si="22"/>
        <v>0</v>
      </c>
      <c r="AE163" s="214"/>
      <c r="AF163" s="223">
        <v>7937.83</v>
      </c>
      <c r="AG163" s="214"/>
      <c r="AH163" s="214"/>
      <c r="AI163" s="214"/>
      <c r="AJ163" s="214"/>
      <c r="AK163" s="214"/>
      <c r="AL163" s="214"/>
      <c r="AM163" s="215">
        <f t="shared" si="24"/>
        <v>10417</v>
      </c>
      <c r="AN163" s="216"/>
      <c r="AO163" s="217"/>
      <c r="BD163" s="224"/>
    </row>
    <row r="164" spans="1:56" x14ac:dyDescent="0.25">
      <c r="A164" s="365">
        <v>14</v>
      </c>
      <c r="B164" s="368" t="s">
        <v>28</v>
      </c>
      <c r="C164" s="143" t="s">
        <v>56</v>
      </c>
      <c r="D164" s="208">
        <v>1</v>
      </c>
      <c r="E164" s="208">
        <v>1</v>
      </c>
      <c r="F164" s="176"/>
      <c r="G164" s="176"/>
      <c r="H164" s="176"/>
      <c r="I164" s="176"/>
      <c r="J164" s="208">
        <v>1</v>
      </c>
      <c r="K164" s="176"/>
      <c r="L164" s="176"/>
      <c r="M164" s="176"/>
      <c r="N164" s="176"/>
      <c r="O164" s="176"/>
      <c r="P164" s="209">
        <f t="shared" si="23"/>
        <v>3</v>
      </c>
      <c r="Q164" s="208">
        <f>396+8</f>
        <v>404</v>
      </c>
      <c r="R164" s="176"/>
      <c r="S164" s="176"/>
      <c r="T164" s="176"/>
      <c r="U164" s="176"/>
      <c r="V164" s="176"/>
      <c r="W164" s="208">
        <v>94</v>
      </c>
      <c r="X164" s="209">
        <f t="shared" si="21"/>
        <v>94</v>
      </c>
      <c r="Y164" s="208">
        <f>280+22</f>
        <v>302</v>
      </c>
      <c r="Z164" s="208">
        <v>1</v>
      </c>
      <c r="AA164" s="176"/>
      <c r="AB164" s="176"/>
      <c r="AC164" s="176"/>
      <c r="AD164" s="209">
        <f t="shared" si="22"/>
        <v>303</v>
      </c>
      <c r="AE164" s="208">
        <v>3</v>
      </c>
      <c r="AF164" s="208">
        <f>2223+799</f>
        <v>3022</v>
      </c>
      <c r="AG164" s="176"/>
      <c r="AH164" s="176"/>
      <c r="AI164" s="176"/>
      <c r="AJ164" s="176"/>
      <c r="AK164" s="176"/>
      <c r="AL164" s="176"/>
      <c r="AM164" s="209">
        <f t="shared" si="24"/>
        <v>397</v>
      </c>
      <c r="AN164" s="219"/>
    </row>
    <row r="165" spans="1:56" x14ac:dyDescent="0.25">
      <c r="A165" s="366"/>
      <c r="B165" s="369"/>
      <c r="C165" s="122" t="s">
        <v>57</v>
      </c>
      <c r="D165" s="123"/>
      <c r="E165" s="123"/>
      <c r="F165" s="123"/>
      <c r="G165" s="123"/>
      <c r="H165" s="123"/>
      <c r="I165" s="126"/>
      <c r="J165" s="123"/>
      <c r="K165" s="123"/>
      <c r="L165" s="123"/>
      <c r="M165" s="123"/>
      <c r="N165" s="123"/>
      <c r="O165" s="123"/>
      <c r="P165" s="125">
        <f t="shared" si="23"/>
        <v>0</v>
      </c>
      <c r="Q165" s="126"/>
      <c r="R165" s="126"/>
      <c r="S165" s="126"/>
      <c r="T165" s="126"/>
      <c r="U165" s="126"/>
      <c r="V165" s="126"/>
      <c r="W165" s="126"/>
      <c r="X165" s="125">
        <f t="shared" si="21"/>
        <v>0</v>
      </c>
      <c r="Y165" s="123"/>
      <c r="Z165" s="123"/>
      <c r="AA165" s="123"/>
      <c r="AB165" s="123"/>
      <c r="AC165" s="123"/>
      <c r="AD165" s="125">
        <f t="shared" si="22"/>
        <v>0</v>
      </c>
      <c r="AE165" s="123"/>
      <c r="AF165" s="123">
        <v>0</v>
      </c>
      <c r="AG165" s="123"/>
      <c r="AH165" s="123"/>
      <c r="AI165" s="123"/>
      <c r="AJ165" s="123"/>
      <c r="AK165" s="123"/>
      <c r="AL165" s="123"/>
      <c r="AM165" s="125">
        <f t="shared" si="24"/>
        <v>0</v>
      </c>
      <c r="AN165" s="128"/>
    </row>
    <row r="166" spans="1:56" x14ac:dyDescent="0.25">
      <c r="A166" s="366"/>
      <c r="B166" s="369"/>
      <c r="C166" s="122" t="s">
        <v>58</v>
      </c>
      <c r="D166" s="123"/>
      <c r="E166" s="123"/>
      <c r="F166" s="123"/>
      <c r="G166" s="123"/>
      <c r="H166" s="123"/>
      <c r="I166" s="126"/>
      <c r="J166" s="129">
        <v>1</v>
      </c>
      <c r="K166" s="129">
        <v>1</v>
      </c>
      <c r="L166" s="123"/>
      <c r="M166" s="123"/>
      <c r="N166" s="123"/>
      <c r="O166" s="123"/>
      <c r="P166" s="125">
        <f t="shared" si="23"/>
        <v>2</v>
      </c>
      <c r="Q166" s="126"/>
      <c r="R166" s="126"/>
      <c r="S166" s="126"/>
      <c r="T166" s="126"/>
      <c r="U166" s="126"/>
      <c r="V166" s="126"/>
      <c r="W166" s="126"/>
      <c r="X166" s="125">
        <f t="shared" si="21"/>
        <v>0</v>
      </c>
      <c r="Y166" s="123"/>
      <c r="Z166" s="123"/>
      <c r="AA166" s="123"/>
      <c r="AB166" s="123"/>
      <c r="AC166" s="123"/>
      <c r="AD166" s="125">
        <f t="shared" si="22"/>
        <v>0</v>
      </c>
      <c r="AE166" s="129">
        <v>25</v>
      </c>
      <c r="AF166" s="123"/>
      <c r="AG166" s="123"/>
      <c r="AH166" s="123"/>
      <c r="AI166" s="123"/>
      <c r="AJ166" s="123"/>
      <c r="AK166" s="123"/>
      <c r="AL166" s="123"/>
      <c r="AM166" s="125">
        <f t="shared" si="24"/>
        <v>0</v>
      </c>
      <c r="AN166" s="128"/>
    </row>
    <row r="167" spans="1:56" x14ac:dyDescent="0.25">
      <c r="A167" s="366"/>
      <c r="B167" s="369"/>
      <c r="C167" s="122" t="s">
        <v>59</v>
      </c>
      <c r="D167" s="123"/>
      <c r="E167" s="123"/>
      <c r="F167" s="123"/>
      <c r="G167" s="123"/>
      <c r="H167" s="123"/>
      <c r="I167" s="126"/>
      <c r="J167" s="123"/>
      <c r="K167" s="123"/>
      <c r="L167" s="123"/>
      <c r="M167" s="123"/>
      <c r="N167" s="123"/>
      <c r="O167" s="123"/>
      <c r="P167" s="125">
        <f t="shared" si="23"/>
        <v>0</v>
      </c>
      <c r="Q167" s="126"/>
      <c r="R167" s="126"/>
      <c r="S167" s="126"/>
      <c r="T167" s="126"/>
      <c r="U167" s="126"/>
      <c r="V167" s="126"/>
      <c r="W167" s="126"/>
      <c r="X167" s="125">
        <f t="shared" si="21"/>
        <v>0</v>
      </c>
      <c r="Y167" s="123"/>
      <c r="Z167" s="123"/>
      <c r="AA167" s="123"/>
      <c r="AB167" s="123"/>
      <c r="AC167" s="123"/>
      <c r="AD167" s="125">
        <f t="shared" si="22"/>
        <v>0</v>
      </c>
      <c r="AE167" s="123"/>
      <c r="AF167" s="123"/>
      <c r="AG167" s="123"/>
      <c r="AH167" s="123"/>
      <c r="AI167" s="123"/>
      <c r="AJ167" s="123"/>
      <c r="AK167" s="123"/>
      <c r="AL167" s="123"/>
      <c r="AM167" s="125">
        <f t="shared" si="24"/>
        <v>0</v>
      </c>
      <c r="AN167" s="128"/>
      <c r="AP167" s="156"/>
      <c r="AQ167" s="156"/>
      <c r="AR167" s="156"/>
      <c r="AS167" s="156"/>
      <c r="AT167" s="156"/>
      <c r="AU167" s="156"/>
      <c r="AV167" s="156"/>
      <c r="AW167" s="156"/>
      <c r="AX167" s="156"/>
      <c r="AY167" s="156"/>
      <c r="AZ167" s="156"/>
      <c r="BA167" s="156"/>
      <c r="BB167" s="156"/>
      <c r="BC167" s="156"/>
      <c r="BD167" s="157"/>
    </row>
    <row r="168" spans="1:56" s="156" customFormat="1" x14ac:dyDescent="0.25">
      <c r="A168" s="366"/>
      <c r="B168" s="369"/>
      <c r="C168" s="122" t="s">
        <v>60</v>
      </c>
      <c r="D168" s="123"/>
      <c r="E168" s="123"/>
      <c r="F168" s="123"/>
      <c r="G168" s="123"/>
      <c r="H168" s="123"/>
      <c r="I168" s="126"/>
      <c r="J168" s="123"/>
      <c r="K168" s="123"/>
      <c r="L168" s="123"/>
      <c r="M168" s="123"/>
      <c r="N168" s="123"/>
      <c r="O168" s="123"/>
      <c r="P168" s="125">
        <f t="shared" si="23"/>
        <v>0</v>
      </c>
      <c r="Q168" s="126"/>
      <c r="R168" s="126"/>
      <c r="S168" s="126"/>
      <c r="T168" s="126"/>
      <c r="U168" s="126"/>
      <c r="V168" s="126"/>
      <c r="W168" s="126"/>
      <c r="X168" s="125">
        <f t="shared" si="21"/>
        <v>0</v>
      </c>
      <c r="Y168" s="123"/>
      <c r="Z168" s="123"/>
      <c r="AA168" s="123"/>
      <c r="AB168" s="123"/>
      <c r="AC168" s="123"/>
      <c r="AD168" s="125">
        <f t="shared" si="22"/>
        <v>0</v>
      </c>
      <c r="AE168" s="123"/>
      <c r="AF168" s="123"/>
      <c r="AG168" s="123"/>
      <c r="AH168" s="123"/>
      <c r="AI168" s="123"/>
      <c r="AJ168" s="123"/>
      <c r="AK168" s="123"/>
      <c r="AL168" s="123"/>
      <c r="AM168" s="125">
        <f t="shared" si="24"/>
        <v>0</v>
      </c>
      <c r="AN168" s="128"/>
      <c r="AO168" s="15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 s="88"/>
    </row>
    <row r="169" spans="1:56" x14ac:dyDescent="0.25">
      <c r="A169" s="366"/>
      <c r="B169" s="369"/>
      <c r="C169" s="122" t="s">
        <v>61</v>
      </c>
      <c r="D169" s="123"/>
      <c r="E169" s="123"/>
      <c r="F169" s="123"/>
      <c r="G169" s="123"/>
      <c r="H169" s="123"/>
      <c r="I169" s="126"/>
      <c r="J169" s="123"/>
      <c r="K169" s="123"/>
      <c r="L169" s="123"/>
      <c r="M169" s="123"/>
      <c r="N169" s="123"/>
      <c r="O169" s="123"/>
      <c r="P169" s="125">
        <f t="shared" si="23"/>
        <v>0</v>
      </c>
      <c r="Q169" s="126"/>
      <c r="R169" s="126"/>
      <c r="S169" s="126"/>
      <c r="T169" s="126"/>
      <c r="U169" s="126"/>
      <c r="V169" s="126"/>
      <c r="W169" s="126"/>
      <c r="X169" s="125">
        <f t="shared" si="21"/>
        <v>0</v>
      </c>
      <c r="Y169" s="123"/>
      <c r="Z169" s="123"/>
      <c r="AA169" s="123"/>
      <c r="AB169" s="123"/>
      <c r="AC169" s="123"/>
      <c r="AD169" s="125">
        <f t="shared" si="22"/>
        <v>0</v>
      </c>
      <c r="AE169" s="123"/>
      <c r="AF169" s="123"/>
      <c r="AG169" s="123"/>
      <c r="AH169" s="123"/>
      <c r="AI169" s="123"/>
      <c r="AJ169" s="123"/>
      <c r="AK169" s="123"/>
      <c r="AL169" s="123"/>
      <c r="AM169" s="125">
        <f t="shared" si="24"/>
        <v>0</v>
      </c>
      <c r="AN169" s="128"/>
    </row>
    <row r="170" spans="1:56" x14ac:dyDescent="0.25">
      <c r="A170" s="366"/>
      <c r="B170" s="369"/>
      <c r="C170" s="122" t="s">
        <v>62</v>
      </c>
      <c r="D170" s="129">
        <v>2</v>
      </c>
      <c r="E170" s="123"/>
      <c r="F170" s="123"/>
      <c r="G170" s="129">
        <v>3</v>
      </c>
      <c r="H170" s="129">
        <v>1</v>
      </c>
      <c r="I170" s="123"/>
      <c r="J170" s="129">
        <v>2</v>
      </c>
      <c r="K170" s="129">
        <v>1</v>
      </c>
      <c r="L170" s="129">
        <v>3</v>
      </c>
      <c r="M170" s="129">
        <v>2</v>
      </c>
      <c r="N170" s="129">
        <v>1</v>
      </c>
      <c r="O170" s="129">
        <v>1</v>
      </c>
      <c r="P170" s="125">
        <f t="shared" si="23"/>
        <v>16</v>
      </c>
      <c r="Q170" s="129">
        <f>1+2+1+5+2+3+3+3</f>
        <v>20</v>
      </c>
      <c r="R170" s="123"/>
      <c r="S170" s="123"/>
      <c r="T170" s="123"/>
      <c r="U170" s="123"/>
      <c r="V170" s="129">
        <f>4+9</f>
        <v>13</v>
      </c>
      <c r="W170" s="129">
        <f>11+7+1+3+5+13</f>
        <v>40</v>
      </c>
      <c r="X170" s="125">
        <f t="shared" si="21"/>
        <v>53</v>
      </c>
      <c r="Y170" s="129">
        <f>5+3+1+5+1+2+3+3+3</f>
        <v>26</v>
      </c>
      <c r="Z170" s="129">
        <v>1</v>
      </c>
      <c r="AA170" s="123"/>
      <c r="AB170" s="123"/>
      <c r="AC170" s="123"/>
      <c r="AD170" s="125">
        <f t="shared" si="22"/>
        <v>27</v>
      </c>
      <c r="AE170" s="123"/>
      <c r="AF170" s="123"/>
      <c r="AG170" s="123"/>
      <c r="AH170" s="123"/>
      <c r="AI170" s="123"/>
      <c r="AJ170" s="123"/>
      <c r="AK170" s="123"/>
      <c r="AL170" s="123"/>
      <c r="AM170" s="125">
        <f t="shared" si="24"/>
        <v>80</v>
      </c>
      <c r="AN170" s="138">
        <f>300000000+25000000+300000000</f>
        <v>625000000</v>
      </c>
    </row>
    <row r="171" spans="1:56" x14ac:dyDescent="0.25">
      <c r="A171" s="366"/>
      <c r="B171" s="369"/>
      <c r="C171" s="122" t="s">
        <v>63</v>
      </c>
      <c r="D171" s="129">
        <v>1</v>
      </c>
      <c r="E171" s="129">
        <v>1</v>
      </c>
      <c r="F171" s="129">
        <v>1</v>
      </c>
      <c r="G171" s="123"/>
      <c r="H171" s="123"/>
      <c r="I171" s="129">
        <v>1</v>
      </c>
      <c r="J171" s="129">
        <v>1</v>
      </c>
      <c r="K171" s="129">
        <v>1</v>
      </c>
      <c r="L171" s="129">
        <v>3</v>
      </c>
      <c r="M171" s="129">
        <v>2</v>
      </c>
      <c r="N171" s="123"/>
      <c r="O171" s="123"/>
      <c r="P171" s="125">
        <f t="shared" si="23"/>
        <v>11</v>
      </c>
      <c r="Q171" s="129">
        <f>1+1+9+1+12+2</f>
        <v>26</v>
      </c>
      <c r="R171" s="123"/>
      <c r="S171" s="129">
        <v>1</v>
      </c>
      <c r="T171" s="123"/>
      <c r="U171" s="123"/>
      <c r="V171" s="129">
        <f>1+3+18</f>
        <v>22</v>
      </c>
      <c r="W171" s="123"/>
      <c r="X171" s="125">
        <f t="shared" si="21"/>
        <v>23</v>
      </c>
      <c r="Y171" s="129">
        <f>216+1+1+9+1+12+2</f>
        <v>242</v>
      </c>
      <c r="Z171" s="129">
        <v>2</v>
      </c>
      <c r="AA171" s="123"/>
      <c r="AB171" s="123"/>
      <c r="AC171" s="123"/>
      <c r="AD171" s="125">
        <f t="shared" si="22"/>
        <v>244</v>
      </c>
      <c r="AE171" s="123"/>
      <c r="AF171" s="123"/>
      <c r="AG171" s="123"/>
      <c r="AH171" s="123"/>
      <c r="AI171" s="123"/>
      <c r="AJ171" s="129">
        <v>5</v>
      </c>
      <c r="AK171" s="123"/>
      <c r="AL171" s="123"/>
      <c r="AM171" s="125">
        <f t="shared" si="24"/>
        <v>267</v>
      </c>
      <c r="AN171" s="128"/>
    </row>
    <row r="172" spans="1:56" x14ac:dyDescent="0.25">
      <c r="A172" s="366"/>
      <c r="B172" s="369"/>
      <c r="C172" s="122" t="s">
        <v>64</v>
      </c>
      <c r="D172" s="123"/>
      <c r="E172" s="123"/>
      <c r="F172" s="123"/>
      <c r="G172" s="123"/>
      <c r="H172" s="123"/>
      <c r="I172" s="126"/>
      <c r="J172" s="123"/>
      <c r="K172" s="123"/>
      <c r="L172" s="123"/>
      <c r="M172" s="123"/>
      <c r="N172" s="123"/>
      <c r="O172" s="123"/>
      <c r="P172" s="125">
        <f t="shared" si="23"/>
        <v>0</v>
      </c>
      <c r="Q172" s="126"/>
      <c r="R172" s="126"/>
      <c r="S172" s="126"/>
      <c r="T172" s="126"/>
      <c r="U172" s="126"/>
      <c r="V172" s="126"/>
      <c r="W172" s="126"/>
      <c r="X172" s="125">
        <f t="shared" si="21"/>
        <v>0</v>
      </c>
      <c r="Y172" s="123"/>
      <c r="Z172" s="123"/>
      <c r="AA172" s="123"/>
      <c r="AB172" s="123"/>
      <c r="AC172" s="123"/>
      <c r="AD172" s="125">
        <f t="shared" si="22"/>
        <v>0</v>
      </c>
      <c r="AE172" s="123"/>
      <c r="AF172" s="123"/>
      <c r="AG172" s="123"/>
      <c r="AH172" s="123"/>
      <c r="AI172" s="123"/>
      <c r="AJ172" s="123"/>
      <c r="AK172" s="123"/>
      <c r="AL172" s="123"/>
      <c r="AM172" s="125">
        <f t="shared" si="24"/>
        <v>0</v>
      </c>
      <c r="AN172" s="128"/>
    </row>
    <row r="173" spans="1:56" x14ac:dyDescent="0.25">
      <c r="A173" s="366"/>
      <c r="B173" s="369"/>
      <c r="C173" s="140" t="s">
        <v>65</v>
      </c>
      <c r="D173" s="123"/>
      <c r="E173" s="123"/>
      <c r="F173" s="123"/>
      <c r="G173" s="123"/>
      <c r="H173" s="123"/>
      <c r="I173" s="126"/>
      <c r="J173" s="123"/>
      <c r="K173" s="123"/>
      <c r="L173" s="123"/>
      <c r="M173" s="123"/>
      <c r="N173" s="123"/>
      <c r="O173" s="123"/>
      <c r="P173" s="125">
        <f t="shared" si="23"/>
        <v>0</v>
      </c>
      <c r="Q173" s="126"/>
      <c r="R173" s="126"/>
      <c r="S173" s="126"/>
      <c r="T173" s="126"/>
      <c r="U173" s="126"/>
      <c r="V173" s="126"/>
      <c r="W173" s="126"/>
      <c r="X173" s="125">
        <f t="shared" si="21"/>
        <v>0</v>
      </c>
      <c r="Y173" s="123"/>
      <c r="Z173" s="123"/>
      <c r="AA173" s="123"/>
      <c r="AB173" s="123"/>
      <c r="AC173" s="123"/>
      <c r="AD173" s="125">
        <f t="shared" si="22"/>
        <v>0</v>
      </c>
      <c r="AE173" s="123"/>
      <c r="AF173" s="123"/>
      <c r="AG173" s="123"/>
      <c r="AH173" s="123"/>
      <c r="AI173" s="123"/>
      <c r="AJ173" s="123"/>
      <c r="AK173" s="123"/>
      <c r="AL173" s="123"/>
      <c r="AM173" s="125">
        <f t="shared" si="24"/>
        <v>0</v>
      </c>
      <c r="AN173" s="128"/>
    </row>
    <row r="174" spans="1:56" x14ac:dyDescent="0.25">
      <c r="A174" s="366"/>
      <c r="B174" s="369"/>
      <c r="C174" s="147" t="s">
        <v>66</v>
      </c>
      <c r="D174" s="123"/>
      <c r="E174" s="123"/>
      <c r="F174" s="123"/>
      <c r="G174" s="123"/>
      <c r="H174" s="123"/>
      <c r="I174" s="126"/>
      <c r="J174" s="123"/>
      <c r="K174" s="123"/>
      <c r="L174" s="123"/>
      <c r="M174" s="123"/>
      <c r="N174" s="123"/>
      <c r="O174" s="123"/>
      <c r="P174" s="125">
        <f t="shared" si="23"/>
        <v>0</v>
      </c>
      <c r="Q174" s="126"/>
      <c r="R174" s="126"/>
      <c r="S174" s="126"/>
      <c r="T174" s="126"/>
      <c r="U174" s="126"/>
      <c r="V174" s="126"/>
      <c r="W174" s="126"/>
      <c r="X174" s="125">
        <f t="shared" si="21"/>
        <v>0</v>
      </c>
      <c r="Y174" s="123"/>
      <c r="Z174" s="123"/>
      <c r="AA174" s="123"/>
      <c r="AB174" s="123"/>
      <c r="AC174" s="123"/>
      <c r="AD174" s="125">
        <f t="shared" si="22"/>
        <v>0</v>
      </c>
      <c r="AE174" s="123"/>
      <c r="AF174" s="123"/>
      <c r="AG174" s="123"/>
      <c r="AH174" s="123"/>
      <c r="AI174" s="123"/>
      <c r="AJ174" s="123"/>
      <c r="AK174" s="123"/>
      <c r="AL174" s="123"/>
      <c r="AM174" s="125">
        <f t="shared" si="24"/>
        <v>0</v>
      </c>
      <c r="AN174" s="128"/>
    </row>
    <row r="175" spans="1:56" s="218" customFormat="1" x14ac:dyDescent="0.25">
      <c r="A175" s="367"/>
      <c r="B175" s="370"/>
      <c r="C175" s="221" t="s">
        <v>67</v>
      </c>
      <c r="D175" s="214"/>
      <c r="E175" s="214"/>
      <c r="F175" s="214"/>
      <c r="G175" s="214"/>
      <c r="H175" s="214"/>
      <c r="I175" s="222"/>
      <c r="J175" s="214"/>
      <c r="K175" s="214"/>
      <c r="L175" s="214"/>
      <c r="M175" s="223">
        <v>4</v>
      </c>
      <c r="N175" s="214"/>
      <c r="O175" s="214"/>
      <c r="P175" s="215">
        <f t="shared" si="23"/>
        <v>4</v>
      </c>
      <c r="Q175" s="223">
        <v>323</v>
      </c>
      <c r="R175" s="222"/>
      <c r="S175" s="222"/>
      <c r="T175" s="222"/>
      <c r="U175" s="222"/>
      <c r="V175" s="222"/>
      <c r="W175" s="222"/>
      <c r="X175" s="215">
        <f t="shared" ref="X175:X228" si="25">SUM(R175:W175)</f>
        <v>0</v>
      </c>
      <c r="Y175" s="214"/>
      <c r="Z175" s="214"/>
      <c r="AA175" s="214"/>
      <c r="AB175" s="214"/>
      <c r="AC175" s="214"/>
      <c r="AD175" s="215">
        <f t="shared" ref="AD175:AD238" si="26">SUM(Y175:AC175)</f>
        <v>0</v>
      </c>
      <c r="AE175" s="214"/>
      <c r="AF175" s="214"/>
      <c r="AG175" s="214"/>
      <c r="AH175" s="214"/>
      <c r="AI175" s="214"/>
      <c r="AJ175" s="214"/>
      <c r="AK175" s="214"/>
      <c r="AL175" s="214"/>
      <c r="AM175" s="215">
        <f t="shared" si="24"/>
        <v>0</v>
      </c>
      <c r="AN175" s="216"/>
      <c r="AO175" s="217"/>
      <c r="BD175" s="224"/>
    </row>
    <row r="176" spans="1:56" x14ac:dyDescent="0.25">
      <c r="A176" s="365">
        <v>15</v>
      </c>
      <c r="B176" s="368" t="s">
        <v>30</v>
      </c>
      <c r="C176" s="143" t="s">
        <v>56</v>
      </c>
      <c r="D176" s="176"/>
      <c r="E176" s="176"/>
      <c r="F176" s="208">
        <v>2</v>
      </c>
      <c r="G176" s="176"/>
      <c r="H176" s="176"/>
      <c r="I176" s="207"/>
      <c r="J176" s="208">
        <v>3</v>
      </c>
      <c r="K176" s="176"/>
      <c r="L176" s="176"/>
      <c r="M176" s="176"/>
      <c r="N176" s="176"/>
      <c r="O176" s="176"/>
      <c r="P176" s="209">
        <f t="shared" si="23"/>
        <v>5</v>
      </c>
      <c r="Q176" s="208">
        <f>200+160</f>
        <v>360</v>
      </c>
      <c r="R176" s="207"/>
      <c r="S176" s="207"/>
      <c r="T176" s="207"/>
      <c r="U176" s="207"/>
      <c r="V176" s="208">
        <v>500</v>
      </c>
      <c r="W176" s="207"/>
      <c r="X176" s="209">
        <f t="shared" si="25"/>
        <v>500</v>
      </c>
      <c r="Y176" s="208">
        <f>200+200</f>
        <v>400</v>
      </c>
      <c r="Z176" s="176"/>
      <c r="AA176" s="176"/>
      <c r="AB176" s="176"/>
      <c r="AC176" s="176"/>
      <c r="AD176" s="209">
        <f t="shared" si="26"/>
        <v>400</v>
      </c>
      <c r="AE176" s="176"/>
      <c r="AF176" s="208">
        <f>30+2307</f>
        <v>2337</v>
      </c>
      <c r="AG176" s="176"/>
      <c r="AH176" s="176"/>
      <c r="AI176" s="176"/>
      <c r="AJ176" s="176"/>
      <c r="AK176" s="176"/>
      <c r="AL176" s="176"/>
      <c r="AM176" s="209">
        <f t="shared" si="24"/>
        <v>900</v>
      </c>
      <c r="AN176" s="219"/>
    </row>
    <row r="177" spans="1:56" x14ac:dyDescent="0.25">
      <c r="A177" s="366"/>
      <c r="B177" s="369"/>
      <c r="C177" s="122" t="s">
        <v>57</v>
      </c>
      <c r="D177" s="123"/>
      <c r="E177" s="123"/>
      <c r="F177" s="123"/>
      <c r="G177" s="123"/>
      <c r="H177" s="123"/>
      <c r="I177" s="126"/>
      <c r="J177" s="123"/>
      <c r="K177" s="123"/>
      <c r="L177" s="123"/>
      <c r="M177" s="123"/>
      <c r="N177" s="123"/>
      <c r="O177" s="123"/>
      <c r="P177" s="125">
        <f t="shared" si="23"/>
        <v>0</v>
      </c>
      <c r="Q177" s="126"/>
      <c r="R177" s="126"/>
      <c r="S177" s="126"/>
      <c r="T177" s="126"/>
      <c r="U177" s="126"/>
      <c r="V177" s="126"/>
      <c r="W177" s="126"/>
      <c r="X177" s="125">
        <f t="shared" si="25"/>
        <v>0</v>
      </c>
      <c r="Y177" s="123"/>
      <c r="Z177" s="123"/>
      <c r="AA177" s="123"/>
      <c r="AB177" s="123"/>
      <c r="AC177" s="123"/>
      <c r="AD177" s="125">
        <f t="shared" si="26"/>
        <v>0</v>
      </c>
      <c r="AE177" s="123"/>
      <c r="AF177" s="123">
        <v>0</v>
      </c>
      <c r="AG177" s="123"/>
      <c r="AH177" s="123"/>
      <c r="AI177" s="123"/>
      <c r="AJ177" s="123"/>
      <c r="AK177" s="123"/>
      <c r="AL177" s="123"/>
      <c r="AM177" s="125">
        <f t="shared" si="24"/>
        <v>0</v>
      </c>
      <c r="AN177" s="128"/>
      <c r="AP177" s="159"/>
      <c r="AQ177" s="159"/>
      <c r="AR177" s="159"/>
      <c r="AS177" s="159"/>
      <c r="AT177" s="159"/>
      <c r="AU177" s="159"/>
      <c r="AV177" s="159"/>
      <c r="AW177" s="159"/>
      <c r="AX177" s="159"/>
      <c r="AY177" s="159"/>
      <c r="AZ177" s="159"/>
      <c r="BA177" s="159"/>
      <c r="BB177" s="159"/>
      <c r="BC177" s="159"/>
      <c r="BD177" s="160"/>
    </row>
    <row r="178" spans="1:56" s="159" customFormat="1" x14ac:dyDescent="0.25">
      <c r="A178" s="366"/>
      <c r="B178" s="369"/>
      <c r="C178" s="122" t="s">
        <v>58</v>
      </c>
      <c r="D178" s="123"/>
      <c r="E178" s="123"/>
      <c r="F178" s="129">
        <v>3</v>
      </c>
      <c r="G178" s="129">
        <v>1</v>
      </c>
      <c r="H178" s="129">
        <v>1</v>
      </c>
      <c r="I178" s="126"/>
      <c r="J178" s="129">
        <v>1</v>
      </c>
      <c r="K178" s="123"/>
      <c r="L178" s="123"/>
      <c r="M178" s="123"/>
      <c r="N178" s="123"/>
      <c r="O178" s="123"/>
      <c r="P178" s="125">
        <f t="shared" si="23"/>
        <v>6</v>
      </c>
      <c r="Q178" s="129">
        <f>104+1</f>
        <v>105</v>
      </c>
      <c r="R178" s="126"/>
      <c r="S178" s="126"/>
      <c r="T178" s="126"/>
      <c r="U178" s="126"/>
      <c r="V178" s="129">
        <v>1</v>
      </c>
      <c r="W178" s="126"/>
      <c r="X178" s="125">
        <f t="shared" si="25"/>
        <v>1</v>
      </c>
      <c r="Y178" s="129">
        <f>3+1+1</f>
        <v>5</v>
      </c>
      <c r="Z178" s="123"/>
      <c r="AA178" s="123"/>
      <c r="AB178" s="123"/>
      <c r="AC178" s="123"/>
      <c r="AD178" s="125">
        <f t="shared" si="26"/>
        <v>5</v>
      </c>
      <c r="AE178" s="123"/>
      <c r="AF178" s="123"/>
      <c r="AG178" s="123"/>
      <c r="AH178" s="123"/>
      <c r="AI178" s="123"/>
      <c r="AJ178" s="123"/>
      <c r="AK178" s="123"/>
      <c r="AL178" s="123"/>
      <c r="AM178" s="125">
        <f t="shared" si="24"/>
        <v>6</v>
      </c>
      <c r="AN178" s="138">
        <f>10000000000+5000000</f>
        <v>10005000000</v>
      </c>
      <c r="AO178" s="161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 s="88"/>
    </row>
    <row r="179" spans="1:56" x14ac:dyDescent="0.25">
      <c r="A179" s="366"/>
      <c r="B179" s="369"/>
      <c r="C179" s="122" t="s">
        <v>59</v>
      </c>
      <c r="D179" s="123"/>
      <c r="E179" s="123"/>
      <c r="F179" s="123"/>
      <c r="G179" s="123"/>
      <c r="H179" s="123"/>
      <c r="I179" s="126"/>
      <c r="J179" s="123"/>
      <c r="K179" s="123"/>
      <c r="L179" s="123"/>
      <c r="M179" s="123"/>
      <c r="N179" s="123"/>
      <c r="O179" s="123"/>
      <c r="P179" s="125">
        <f t="shared" si="23"/>
        <v>0</v>
      </c>
      <c r="Q179" s="126"/>
      <c r="R179" s="126"/>
      <c r="S179" s="126"/>
      <c r="T179" s="126"/>
      <c r="U179" s="126"/>
      <c r="V179" s="126"/>
      <c r="W179" s="126"/>
      <c r="X179" s="125">
        <f t="shared" si="25"/>
        <v>0</v>
      </c>
      <c r="Y179" s="123"/>
      <c r="Z179" s="123"/>
      <c r="AA179" s="123"/>
      <c r="AB179" s="123"/>
      <c r="AC179" s="123"/>
      <c r="AD179" s="125">
        <f t="shared" si="26"/>
        <v>0</v>
      </c>
      <c r="AE179" s="123"/>
      <c r="AF179" s="123"/>
      <c r="AG179" s="123"/>
      <c r="AH179" s="123"/>
      <c r="AI179" s="123"/>
      <c r="AJ179" s="123"/>
      <c r="AK179" s="123"/>
      <c r="AL179" s="123"/>
      <c r="AM179" s="125">
        <f t="shared" si="24"/>
        <v>0</v>
      </c>
      <c r="AN179" s="128"/>
    </row>
    <row r="180" spans="1:56" x14ac:dyDescent="0.25">
      <c r="A180" s="366"/>
      <c r="B180" s="369"/>
      <c r="C180" s="122" t="s">
        <v>60</v>
      </c>
      <c r="D180" s="126"/>
      <c r="E180" s="123"/>
      <c r="F180" s="123"/>
      <c r="G180" s="123"/>
      <c r="H180" s="123"/>
      <c r="I180" s="126"/>
      <c r="J180" s="123"/>
      <c r="K180" s="123"/>
      <c r="L180" s="126"/>
      <c r="M180" s="126"/>
      <c r="N180" s="126"/>
      <c r="O180" s="126"/>
      <c r="P180" s="125">
        <f t="shared" si="23"/>
        <v>0</v>
      </c>
      <c r="Q180" s="126"/>
      <c r="R180" s="126"/>
      <c r="S180" s="126"/>
      <c r="T180" s="126"/>
      <c r="U180" s="126"/>
      <c r="V180" s="126"/>
      <c r="W180" s="126"/>
      <c r="X180" s="125">
        <f t="shared" si="25"/>
        <v>0</v>
      </c>
      <c r="Y180" s="126"/>
      <c r="Z180" s="123"/>
      <c r="AA180" s="123"/>
      <c r="AB180" s="123"/>
      <c r="AC180" s="123"/>
      <c r="AD180" s="125">
        <f t="shared" si="26"/>
        <v>0</v>
      </c>
      <c r="AE180" s="123"/>
      <c r="AF180" s="123"/>
      <c r="AG180" s="123"/>
      <c r="AH180" s="123"/>
      <c r="AI180" s="123"/>
      <c r="AJ180" s="123"/>
      <c r="AK180" s="123"/>
      <c r="AL180" s="123"/>
      <c r="AM180" s="125">
        <f t="shared" si="24"/>
        <v>0</v>
      </c>
      <c r="AN180" s="128"/>
    </row>
    <row r="181" spans="1:56" x14ac:dyDescent="0.25">
      <c r="A181" s="366"/>
      <c r="B181" s="369"/>
      <c r="C181" s="122" t="s">
        <v>61</v>
      </c>
      <c r="D181" s="123"/>
      <c r="E181" s="126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5">
        <f t="shared" si="23"/>
        <v>0</v>
      </c>
      <c r="Q181" s="126"/>
      <c r="R181" s="126"/>
      <c r="S181" s="126"/>
      <c r="T181" s="126"/>
      <c r="U181" s="126"/>
      <c r="V181" s="126"/>
      <c r="W181" s="126"/>
      <c r="X181" s="125">
        <f t="shared" si="25"/>
        <v>0</v>
      </c>
      <c r="Y181" s="126"/>
      <c r="Z181" s="123"/>
      <c r="AA181" s="123"/>
      <c r="AB181" s="123"/>
      <c r="AC181" s="123"/>
      <c r="AD181" s="125">
        <f t="shared" si="26"/>
        <v>0</v>
      </c>
      <c r="AE181" s="123"/>
      <c r="AF181" s="123"/>
      <c r="AG181" s="123"/>
      <c r="AH181" s="123"/>
      <c r="AI181" s="123"/>
      <c r="AJ181" s="123"/>
      <c r="AK181" s="123"/>
      <c r="AL181" s="123"/>
      <c r="AM181" s="125">
        <f t="shared" si="24"/>
        <v>0</v>
      </c>
      <c r="AN181" s="128"/>
    </row>
    <row r="182" spans="1:56" x14ac:dyDescent="0.25">
      <c r="A182" s="366"/>
      <c r="B182" s="369"/>
      <c r="C182" s="122" t="s">
        <v>62</v>
      </c>
      <c r="D182" s="123"/>
      <c r="E182" s="129">
        <v>1</v>
      </c>
      <c r="F182" s="129">
        <v>1</v>
      </c>
      <c r="G182" s="123"/>
      <c r="H182" s="129">
        <v>2</v>
      </c>
      <c r="I182" s="129">
        <v>1</v>
      </c>
      <c r="J182" s="129">
        <v>4</v>
      </c>
      <c r="K182" s="123"/>
      <c r="L182" s="129">
        <v>2</v>
      </c>
      <c r="M182" s="129">
        <v>3</v>
      </c>
      <c r="N182" s="129">
        <v>1</v>
      </c>
      <c r="O182" s="123"/>
      <c r="P182" s="125">
        <f t="shared" si="23"/>
        <v>15</v>
      </c>
      <c r="Q182" s="129">
        <f>1+2+1+3+4+1</f>
        <v>12</v>
      </c>
      <c r="R182" s="129">
        <v>1</v>
      </c>
      <c r="S182" s="129">
        <v>1</v>
      </c>
      <c r="T182" s="126"/>
      <c r="U182" s="126"/>
      <c r="V182" s="126"/>
      <c r="W182" s="129">
        <v>1</v>
      </c>
      <c r="X182" s="125">
        <f t="shared" si="25"/>
        <v>3</v>
      </c>
      <c r="Y182" s="129">
        <f>1+1+2+1+4+1+5+1</f>
        <v>16</v>
      </c>
      <c r="Z182" s="123"/>
      <c r="AA182" s="123"/>
      <c r="AB182" s="123"/>
      <c r="AC182" s="123"/>
      <c r="AD182" s="125">
        <f t="shared" si="26"/>
        <v>16</v>
      </c>
      <c r="AE182" s="123"/>
      <c r="AF182" s="123"/>
      <c r="AG182" s="123"/>
      <c r="AH182" s="123"/>
      <c r="AI182" s="123"/>
      <c r="AJ182" s="129">
        <v>2</v>
      </c>
      <c r="AK182" s="123"/>
      <c r="AL182" s="123"/>
      <c r="AM182" s="125">
        <f t="shared" si="24"/>
        <v>19</v>
      </c>
      <c r="AN182" s="138">
        <f>40000000+80000000+750000000+110000000+1500000000+200000000+100000000+341060000+500000000</f>
        <v>3621060000</v>
      </c>
    </row>
    <row r="183" spans="1:56" x14ac:dyDescent="0.25">
      <c r="A183" s="366"/>
      <c r="B183" s="369"/>
      <c r="C183" s="122" t="s">
        <v>63</v>
      </c>
      <c r="D183" s="129">
        <v>1</v>
      </c>
      <c r="E183" s="129">
        <v>2</v>
      </c>
      <c r="F183" s="123"/>
      <c r="G183" s="129">
        <v>1</v>
      </c>
      <c r="H183" s="123"/>
      <c r="I183" s="123"/>
      <c r="J183" s="129">
        <v>4</v>
      </c>
      <c r="K183" s="123"/>
      <c r="L183" s="129">
        <v>1</v>
      </c>
      <c r="M183" s="129">
        <v>1</v>
      </c>
      <c r="N183" s="123"/>
      <c r="O183" s="123"/>
      <c r="P183" s="125">
        <f t="shared" si="23"/>
        <v>10</v>
      </c>
      <c r="Q183" s="129">
        <v>18</v>
      </c>
      <c r="R183" s="123"/>
      <c r="S183" s="123"/>
      <c r="T183" s="123"/>
      <c r="U183" s="123"/>
      <c r="V183" s="129">
        <f>81+1</f>
        <v>82</v>
      </c>
      <c r="W183" s="123"/>
      <c r="X183" s="125">
        <f t="shared" si="25"/>
        <v>82</v>
      </c>
      <c r="Y183" s="129">
        <f>94+70+32+1+7</f>
        <v>204</v>
      </c>
      <c r="Z183" s="123"/>
      <c r="AA183" s="123"/>
      <c r="AB183" s="129">
        <v>1</v>
      </c>
      <c r="AC183" s="123"/>
      <c r="AD183" s="125">
        <f t="shared" si="26"/>
        <v>205</v>
      </c>
      <c r="AE183" s="123"/>
      <c r="AF183" s="123"/>
      <c r="AG183" s="123"/>
      <c r="AH183" s="123"/>
      <c r="AI183" s="123"/>
      <c r="AJ183" s="123"/>
      <c r="AK183" s="123"/>
      <c r="AL183" s="123"/>
      <c r="AM183" s="125">
        <f t="shared" si="24"/>
        <v>287</v>
      </c>
      <c r="AN183" s="138">
        <f>67000000+10000000</f>
        <v>77000000</v>
      </c>
    </row>
    <row r="184" spans="1:56" x14ac:dyDescent="0.25">
      <c r="A184" s="366"/>
      <c r="B184" s="369"/>
      <c r="C184" s="122" t="s">
        <v>64</v>
      </c>
      <c r="D184" s="123"/>
      <c r="E184" s="123"/>
      <c r="F184" s="126"/>
      <c r="G184" s="123"/>
      <c r="H184" s="123"/>
      <c r="I184" s="123"/>
      <c r="J184" s="123"/>
      <c r="K184" s="123"/>
      <c r="L184" s="126"/>
      <c r="M184" s="126"/>
      <c r="N184" s="126"/>
      <c r="O184" s="126"/>
      <c r="P184" s="125">
        <f t="shared" si="23"/>
        <v>0</v>
      </c>
      <c r="Q184" s="126"/>
      <c r="R184" s="126"/>
      <c r="S184" s="126"/>
      <c r="T184" s="126"/>
      <c r="U184" s="126"/>
      <c r="V184" s="126"/>
      <c r="W184" s="126"/>
      <c r="X184" s="125">
        <f t="shared" si="25"/>
        <v>0</v>
      </c>
      <c r="Y184" s="126"/>
      <c r="Z184" s="123"/>
      <c r="AA184" s="123"/>
      <c r="AB184" s="123"/>
      <c r="AC184" s="123"/>
      <c r="AD184" s="125">
        <f t="shared" si="26"/>
        <v>0</v>
      </c>
      <c r="AE184" s="123"/>
      <c r="AF184" s="123"/>
      <c r="AG184" s="123"/>
      <c r="AH184" s="123"/>
      <c r="AI184" s="123"/>
      <c r="AJ184" s="123"/>
      <c r="AK184" s="123"/>
      <c r="AL184" s="123"/>
      <c r="AM184" s="125">
        <f t="shared" si="24"/>
        <v>0</v>
      </c>
      <c r="AN184" s="128"/>
    </row>
    <row r="185" spans="1:56" x14ac:dyDescent="0.25">
      <c r="A185" s="366"/>
      <c r="B185" s="369"/>
      <c r="C185" s="140" t="s">
        <v>65</v>
      </c>
      <c r="D185" s="126"/>
      <c r="E185" s="123"/>
      <c r="F185" s="126"/>
      <c r="G185" s="126"/>
      <c r="H185" s="126"/>
      <c r="I185" s="126"/>
      <c r="J185" s="129">
        <v>1</v>
      </c>
      <c r="K185" s="126"/>
      <c r="L185" s="126"/>
      <c r="M185" s="126"/>
      <c r="N185" s="129">
        <v>1</v>
      </c>
      <c r="O185" s="126"/>
      <c r="P185" s="125">
        <f t="shared" si="23"/>
        <v>2</v>
      </c>
      <c r="Q185" s="126"/>
      <c r="R185" s="126"/>
      <c r="S185" s="126"/>
      <c r="T185" s="126"/>
      <c r="U185" s="126"/>
      <c r="V185" s="126"/>
      <c r="W185" s="126"/>
      <c r="X185" s="125">
        <f t="shared" si="25"/>
        <v>0</v>
      </c>
      <c r="Y185" s="126"/>
      <c r="Z185" s="123"/>
      <c r="AA185" s="123"/>
      <c r="AB185" s="123"/>
      <c r="AC185" s="123"/>
      <c r="AD185" s="125">
        <f t="shared" si="26"/>
        <v>0</v>
      </c>
      <c r="AE185" s="123"/>
      <c r="AF185" s="129">
        <v>200</v>
      </c>
      <c r="AG185" s="123"/>
      <c r="AH185" s="123"/>
      <c r="AI185" s="123"/>
      <c r="AJ185" s="123"/>
      <c r="AK185" s="123"/>
      <c r="AL185" s="123"/>
      <c r="AM185" s="125">
        <f t="shared" si="24"/>
        <v>0</v>
      </c>
      <c r="AN185" s="128"/>
    </row>
    <row r="186" spans="1:56" x14ac:dyDescent="0.25">
      <c r="A186" s="366"/>
      <c r="B186" s="369"/>
      <c r="C186" s="147" t="s">
        <v>66</v>
      </c>
      <c r="D186" s="126"/>
      <c r="E186" s="123"/>
      <c r="F186" s="126"/>
      <c r="G186" s="126"/>
      <c r="H186" s="126"/>
      <c r="I186" s="126"/>
      <c r="J186" s="123"/>
      <c r="K186" s="126"/>
      <c r="L186" s="129">
        <v>3</v>
      </c>
      <c r="M186" s="123"/>
      <c r="N186" s="123"/>
      <c r="O186" s="123"/>
      <c r="P186" s="125">
        <f t="shared" si="23"/>
        <v>3</v>
      </c>
      <c r="Q186" s="126"/>
      <c r="R186" s="126"/>
      <c r="S186" s="126"/>
      <c r="T186" s="126"/>
      <c r="U186" s="126"/>
      <c r="V186" s="126"/>
      <c r="W186" s="126"/>
      <c r="X186" s="125">
        <f t="shared" si="25"/>
        <v>0</v>
      </c>
      <c r="Y186" s="126"/>
      <c r="Z186" s="123"/>
      <c r="AA186" s="123"/>
      <c r="AB186" s="123"/>
      <c r="AC186" s="123"/>
      <c r="AD186" s="125">
        <f t="shared" si="26"/>
        <v>0</v>
      </c>
      <c r="AE186" s="123"/>
      <c r="AF186" s="123"/>
      <c r="AG186" s="123"/>
      <c r="AH186" s="123"/>
      <c r="AI186" s="123"/>
      <c r="AJ186" s="123"/>
      <c r="AK186" s="123"/>
      <c r="AL186" s="123"/>
      <c r="AM186" s="125">
        <f t="shared" si="24"/>
        <v>0</v>
      </c>
      <c r="AN186" s="128"/>
    </row>
    <row r="187" spans="1:56" s="218" customFormat="1" x14ac:dyDescent="0.25">
      <c r="A187" s="367"/>
      <c r="B187" s="370"/>
      <c r="C187" s="221" t="s">
        <v>67</v>
      </c>
      <c r="D187" s="222"/>
      <c r="E187" s="214"/>
      <c r="F187" s="222"/>
      <c r="G187" s="222"/>
      <c r="H187" s="222"/>
      <c r="I187" s="222"/>
      <c r="J187" s="214"/>
      <c r="K187" s="222"/>
      <c r="L187" s="222"/>
      <c r="M187" s="222"/>
      <c r="N187" s="222"/>
      <c r="O187" s="222"/>
      <c r="P187" s="215">
        <f t="shared" si="23"/>
        <v>0</v>
      </c>
      <c r="Q187" s="222"/>
      <c r="R187" s="222"/>
      <c r="S187" s="222"/>
      <c r="T187" s="222"/>
      <c r="U187" s="222"/>
      <c r="V187" s="222"/>
      <c r="W187" s="222"/>
      <c r="X187" s="215">
        <f t="shared" si="25"/>
        <v>0</v>
      </c>
      <c r="Y187" s="222"/>
      <c r="Z187" s="214"/>
      <c r="AA187" s="214"/>
      <c r="AB187" s="214"/>
      <c r="AC187" s="214"/>
      <c r="AD187" s="215">
        <f t="shared" si="26"/>
        <v>0</v>
      </c>
      <c r="AE187" s="214"/>
      <c r="AF187" s="214"/>
      <c r="AG187" s="214"/>
      <c r="AH187" s="214"/>
      <c r="AI187" s="214"/>
      <c r="AJ187" s="214"/>
      <c r="AK187" s="214"/>
      <c r="AL187" s="214"/>
      <c r="AM187" s="215">
        <f t="shared" si="24"/>
        <v>0</v>
      </c>
      <c r="AN187" s="216"/>
      <c r="AO187" s="217"/>
      <c r="BD187" s="224"/>
    </row>
    <row r="188" spans="1:56" s="156" customFormat="1" x14ac:dyDescent="0.25">
      <c r="A188" s="365">
        <v>16</v>
      </c>
      <c r="B188" s="368" t="s">
        <v>33</v>
      </c>
      <c r="C188" s="228" t="s">
        <v>56</v>
      </c>
      <c r="D188" s="231"/>
      <c r="E188" s="230">
        <v>3</v>
      </c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33">
        <f t="shared" si="23"/>
        <v>3</v>
      </c>
      <c r="Q188" s="230">
        <v>65</v>
      </c>
      <c r="R188" s="231"/>
      <c r="S188" s="231"/>
      <c r="T188" s="231"/>
      <c r="U188" s="231"/>
      <c r="V188" s="230">
        <v>191</v>
      </c>
      <c r="W188" s="230">
        <v>7</v>
      </c>
      <c r="X188" s="233">
        <f t="shared" si="25"/>
        <v>198</v>
      </c>
      <c r="Y188" s="230">
        <v>57</v>
      </c>
      <c r="Z188" s="229"/>
      <c r="AA188" s="229"/>
      <c r="AB188" s="229"/>
      <c r="AC188" s="229"/>
      <c r="AD188" s="233">
        <f t="shared" si="26"/>
        <v>57</v>
      </c>
      <c r="AE188" s="229"/>
      <c r="AF188" s="230">
        <v>115</v>
      </c>
      <c r="AG188" s="229"/>
      <c r="AH188" s="230">
        <v>0.5</v>
      </c>
      <c r="AI188" s="229"/>
      <c r="AJ188" s="229"/>
      <c r="AK188" s="229"/>
      <c r="AL188" s="229"/>
      <c r="AM188" s="233">
        <f t="shared" si="24"/>
        <v>255</v>
      </c>
      <c r="AN188" s="232"/>
      <c r="AO188" s="158"/>
      <c r="BD188" s="157"/>
    </row>
    <row r="189" spans="1:56" x14ac:dyDescent="0.25">
      <c r="A189" s="366"/>
      <c r="B189" s="369"/>
      <c r="C189" s="122" t="s">
        <v>57</v>
      </c>
      <c r="D189" s="126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5">
        <f t="shared" si="23"/>
        <v>0</v>
      </c>
      <c r="Q189" s="126"/>
      <c r="R189" s="126"/>
      <c r="S189" s="126"/>
      <c r="T189" s="126"/>
      <c r="U189" s="126"/>
      <c r="V189" s="126"/>
      <c r="W189" s="126"/>
      <c r="X189" s="125">
        <f t="shared" si="25"/>
        <v>0</v>
      </c>
      <c r="Y189" s="126"/>
      <c r="Z189" s="123"/>
      <c r="AA189" s="123"/>
      <c r="AB189" s="123"/>
      <c r="AC189" s="123"/>
      <c r="AD189" s="125">
        <f t="shared" si="26"/>
        <v>0</v>
      </c>
      <c r="AE189" s="123"/>
      <c r="AF189" s="123">
        <v>0</v>
      </c>
      <c r="AG189" s="123"/>
      <c r="AH189" s="123"/>
      <c r="AI189" s="123"/>
      <c r="AJ189" s="123"/>
      <c r="AK189" s="123"/>
      <c r="AL189" s="123"/>
      <c r="AM189" s="125">
        <f t="shared" si="24"/>
        <v>0</v>
      </c>
      <c r="AN189" s="128"/>
    </row>
    <row r="190" spans="1:56" x14ac:dyDescent="0.25">
      <c r="A190" s="366"/>
      <c r="B190" s="369"/>
      <c r="C190" s="122" t="s">
        <v>58</v>
      </c>
      <c r="D190" s="123"/>
      <c r="E190" s="129">
        <v>1</v>
      </c>
      <c r="F190" s="129">
        <v>1</v>
      </c>
      <c r="G190" s="129">
        <v>3</v>
      </c>
      <c r="H190" s="129">
        <v>1</v>
      </c>
      <c r="I190" s="129">
        <v>1</v>
      </c>
      <c r="J190" s="123"/>
      <c r="K190" s="129">
        <v>1</v>
      </c>
      <c r="L190" s="123"/>
      <c r="M190" s="123"/>
      <c r="N190" s="123"/>
      <c r="O190" s="123"/>
      <c r="P190" s="125">
        <f t="shared" si="23"/>
        <v>8</v>
      </c>
      <c r="Q190" s="129">
        <f>1+1</f>
        <v>2</v>
      </c>
      <c r="R190" s="126"/>
      <c r="S190" s="126"/>
      <c r="T190" s="126"/>
      <c r="U190" s="126"/>
      <c r="V190" s="129">
        <f>4+5</f>
        <v>9</v>
      </c>
      <c r="W190" s="126"/>
      <c r="X190" s="125">
        <f t="shared" si="25"/>
        <v>9</v>
      </c>
      <c r="Y190" s="129">
        <f>1+1+1</f>
        <v>3</v>
      </c>
      <c r="Z190" s="123"/>
      <c r="AA190" s="123"/>
      <c r="AB190" s="123"/>
      <c r="AC190" s="123"/>
      <c r="AD190" s="125">
        <f t="shared" si="26"/>
        <v>3</v>
      </c>
      <c r="AE190" s="129">
        <f>25+1+2+45</f>
        <v>73</v>
      </c>
      <c r="AF190" s="123"/>
      <c r="AG190" s="123"/>
      <c r="AH190" s="123"/>
      <c r="AI190" s="123"/>
      <c r="AJ190" s="123"/>
      <c r="AK190" s="123"/>
      <c r="AL190" s="123"/>
      <c r="AM190" s="125">
        <f t="shared" si="24"/>
        <v>12</v>
      </c>
      <c r="AN190" s="128"/>
    </row>
    <row r="191" spans="1:56" x14ac:dyDescent="0.25">
      <c r="A191" s="366"/>
      <c r="B191" s="369"/>
      <c r="C191" s="122" t="s">
        <v>59</v>
      </c>
      <c r="D191" s="126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9">
        <v>2</v>
      </c>
      <c r="P191" s="125">
        <f t="shared" si="23"/>
        <v>2</v>
      </c>
      <c r="Q191" s="129">
        <v>30</v>
      </c>
      <c r="R191" s="126"/>
      <c r="S191" s="126"/>
      <c r="T191" s="126"/>
      <c r="U191" s="126"/>
      <c r="V191" s="129">
        <v>96</v>
      </c>
      <c r="W191" s="126"/>
      <c r="X191" s="125">
        <f t="shared" si="25"/>
        <v>96</v>
      </c>
      <c r="Y191" s="129">
        <v>15</v>
      </c>
      <c r="Z191" s="123"/>
      <c r="AA191" s="123"/>
      <c r="AB191" s="123"/>
      <c r="AC191" s="123"/>
      <c r="AD191" s="125">
        <f t="shared" si="26"/>
        <v>15</v>
      </c>
      <c r="AE191" s="123"/>
      <c r="AF191" s="123"/>
      <c r="AG191" s="123"/>
      <c r="AH191" s="123"/>
      <c r="AI191" s="123"/>
      <c r="AJ191" s="123"/>
      <c r="AK191" s="123"/>
      <c r="AL191" s="123"/>
      <c r="AM191" s="125">
        <f t="shared" si="24"/>
        <v>111</v>
      </c>
      <c r="AN191" s="128"/>
    </row>
    <row r="192" spans="1:56" x14ac:dyDescent="0.25">
      <c r="A192" s="366"/>
      <c r="B192" s="369"/>
      <c r="C192" s="122" t="s">
        <v>60</v>
      </c>
      <c r="D192" s="123"/>
      <c r="E192" s="126"/>
      <c r="F192" s="126"/>
      <c r="G192" s="123"/>
      <c r="H192" s="123"/>
      <c r="I192" s="123"/>
      <c r="J192" s="123"/>
      <c r="K192" s="123"/>
      <c r="L192" s="123"/>
      <c r="M192" s="123"/>
      <c r="N192" s="123"/>
      <c r="O192" s="123"/>
      <c r="P192" s="125">
        <f t="shared" si="23"/>
        <v>0</v>
      </c>
      <c r="Q192" s="126"/>
      <c r="R192" s="126"/>
      <c r="S192" s="126"/>
      <c r="T192" s="126"/>
      <c r="U192" s="126"/>
      <c r="V192" s="126"/>
      <c r="W192" s="126"/>
      <c r="X192" s="125">
        <f t="shared" si="25"/>
        <v>0</v>
      </c>
      <c r="Y192" s="126"/>
      <c r="Z192" s="123"/>
      <c r="AA192" s="123"/>
      <c r="AB192" s="123"/>
      <c r="AC192" s="123"/>
      <c r="AD192" s="125">
        <f t="shared" si="26"/>
        <v>0</v>
      </c>
      <c r="AE192" s="123"/>
      <c r="AF192" s="123"/>
      <c r="AG192" s="123"/>
      <c r="AH192" s="123"/>
      <c r="AI192" s="123"/>
      <c r="AJ192" s="123"/>
      <c r="AK192" s="123"/>
      <c r="AL192" s="123"/>
      <c r="AM192" s="125">
        <f t="shared" si="24"/>
        <v>0</v>
      </c>
      <c r="AN192" s="128"/>
    </row>
    <row r="193" spans="1:56" x14ac:dyDescent="0.25">
      <c r="A193" s="366"/>
      <c r="B193" s="369"/>
      <c r="C193" s="122" t="s">
        <v>61</v>
      </c>
      <c r="D193" s="123"/>
      <c r="E193" s="123"/>
      <c r="F193" s="123"/>
      <c r="G193" s="123"/>
      <c r="H193" s="123"/>
      <c r="I193" s="126"/>
      <c r="J193" s="123"/>
      <c r="K193" s="123"/>
      <c r="L193" s="123"/>
      <c r="M193" s="123"/>
      <c r="N193" s="123"/>
      <c r="O193" s="123"/>
      <c r="P193" s="125">
        <f t="shared" si="23"/>
        <v>0</v>
      </c>
      <c r="Q193" s="126"/>
      <c r="R193" s="126"/>
      <c r="S193" s="126"/>
      <c r="T193" s="126"/>
      <c r="U193" s="126"/>
      <c r="V193" s="126"/>
      <c r="W193" s="126"/>
      <c r="X193" s="125">
        <f t="shared" si="25"/>
        <v>0</v>
      </c>
      <c r="Y193" s="126"/>
      <c r="Z193" s="123"/>
      <c r="AA193" s="123"/>
      <c r="AB193" s="123"/>
      <c r="AC193" s="123"/>
      <c r="AD193" s="125">
        <f t="shared" si="26"/>
        <v>0</v>
      </c>
      <c r="AE193" s="123"/>
      <c r="AF193" s="123"/>
      <c r="AG193" s="123"/>
      <c r="AH193" s="123"/>
      <c r="AI193" s="123"/>
      <c r="AJ193" s="123"/>
      <c r="AK193" s="123"/>
      <c r="AL193" s="123"/>
      <c r="AM193" s="125">
        <f t="shared" si="24"/>
        <v>0</v>
      </c>
      <c r="AN193" s="128"/>
    </row>
    <row r="194" spans="1:56" x14ac:dyDescent="0.25">
      <c r="A194" s="366"/>
      <c r="B194" s="369"/>
      <c r="C194" s="122" t="s">
        <v>62</v>
      </c>
      <c r="D194" s="129">
        <v>1</v>
      </c>
      <c r="E194" s="129">
        <v>1</v>
      </c>
      <c r="F194" s="129">
        <v>2</v>
      </c>
      <c r="G194" s="123"/>
      <c r="H194" s="123"/>
      <c r="I194" s="129">
        <v>2</v>
      </c>
      <c r="J194" s="123"/>
      <c r="K194" s="129">
        <v>1</v>
      </c>
      <c r="L194" s="129">
        <v>1</v>
      </c>
      <c r="M194" s="129">
        <v>4</v>
      </c>
      <c r="N194" s="123"/>
      <c r="O194" s="123"/>
      <c r="P194" s="125">
        <f t="shared" si="23"/>
        <v>12</v>
      </c>
      <c r="Q194" s="129">
        <f>1+1+2+1+7+4</f>
        <v>16</v>
      </c>
      <c r="R194" s="123"/>
      <c r="S194" s="123"/>
      <c r="T194" s="123"/>
      <c r="U194" s="123"/>
      <c r="V194" s="129">
        <f>7+4+15+3+34+8</f>
        <v>71</v>
      </c>
      <c r="W194" s="123"/>
      <c r="X194" s="125">
        <f t="shared" si="25"/>
        <v>71</v>
      </c>
      <c r="Y194" s="129">
        <f>1+2+2+1+7+4</f>
        <v>17</v>
      </c>
      <c r="Z194" s="123"/>
      <c r="AA194" s="123"/>
      <c r="AB194" s="123"/>
      <c r="AC194" s="123"/>
      <c r="AD194" s="125">
        <f t="shared" si="26"/>
        <v>17</v>
      </c>
      <c r="AE194" s="123"/>
      <c r="AF194" s="123"/>
      <c r="AG194" s="123"/>
      <c r="AH194" s="123"/>
      <c r="AI194" s="123"/>
      <c r="AJ194" s="129">
        <v>1</v>
      </c>
      <c r="AK194" s="123"/>
      <c r="AL194" s="123"/>
      <c r="AM194" s="125">
        <f t="shared" si="24"/>
        <v>88</v>
      </c>
      <c r="AN194" s="138">
        <f>648000000+350000000+190000000+800000000+540000000</f>
        <v>2528000000</v>
      </c>
    </row>
    <row r="195" spans="1:56" x14ac:dyDescent="0.25">
      <c r="A195" s="366"/>
      <c r="B195" s="369"/>
      <c r="C195" s="122" t="s">
        <v>63</v>
      </c>
      <c r="D195" s="129">
        <v>2</v>
      </c>
      <c r="E195" s="129">
        <v>1</v>
      </c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5">
        <f t="shared" si="23"/>
        <v>3</v>
      </c>
      <c r="Q195" s="129">
        <v>4</v>
      </c>
      <c r="R195" s="123"/>
      <c r="S195" s="123"/>
      <c r="T195" s="123"/>
      <c r="U195" s="123"/>
      <c r="V195" s="129">
        <v>11</v>
      </c>
      <c r="W195" s="129">
        <v>9</v>
      </c>
      <c r="X195" s="125">
        <f t="shared" si="25"/>
        <v>20</v>
      </c>
      <c r="Y195" s="129">
        <v>5</v>
      </c>
      <c r="Z195" s="123"/>
      <c r="AA195" s="123"/>
      <c r="AB195" s="123"/>
      <c r="AC195" s="123"/>
      <c r="AD195" s="125">
        <f t="shared" si="26"/>
        <v>5</v>
      </c>
      <c r="AE195" s="123"/>
      <c r="AF195" s="123"/>
      <c r="AG195" s="123"/>
      <c r="AH195" s="123"/>
      <c r="AI195" s="129">
        <v>1</v>
      </c>
      <c r="AJ195" s="123"/>
      <c r="AK195" s="123"/>
      <c r="AL195" s="123"/>
      <c r="AM195" s="125">
        <f t="shared" si="24"/>
        <v>25</v>
      </c>
      <c r="AN195" s="138">
        <v>40000000</v>
      </c>
    </row>
    <row r="196" spans="1:56" x14ac:dyDescent="0.25">
      <c r="A196" s="366"/>
      <c r="B196" s="369"/>
      <c r="C196" s="122" t="s">
        <v>64</v>
      </c>
      <c r="D196" s="126"/>
      <c r="E196" s="126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5">
        <f t="shared" si="23"/>
        <v>0</v>
      </c>
      <c r="Q196" s="126"/>
      <c r="R196" s="126"/>
      <c r="S196" s="126"/>
      <c r="T196" s="126"/>
      <c r="U196" s="126"/>
      <c r="V196" s="126"/>
      <c r="W196" s="126"/>
      <c r="X196" s="125">
        <f t="shared" si="25"/>
        <v>0</v>
      </c>
      <c r="Y196" s="126"/>
      <c r="Z196" s="123"/>
      <c r="AA196" s="123"/>
      <c r="AB196" s="123"/>
      <c r="AC196" s="123"/>
      <c r="AD196" s="125">
        <f t="shared" si="26"/>
        <v>0</v>
      </c>
      <c r="AE196" s="123"/>
      <c r="AF196" s="123"/>
      <c r="AG196" s="123"/>
      <c r="AH196" s="123"/>
      <c r="AI196" s="123"/>
      <c r="AJ196" s="123"/>
      <c r="AK196" s="123"/>
      <c r="AL196" s="123"/>
      <c r="AM196" s="125">
        <f t="shared" si="24"/>
        <v>0</v>
      </c>
      <c r="AN196" s="128"/>
    </row>
    <row r="197" spans="1:56" x14ac:dyDescent="0.25">
      <c r="A197" s="366"/>
      <c r="B197" s="369"/>
      <c r="C197" s="140" t="s">
        <v>65</v>
      </c>
      <c r="D197" s="126"/>
      <c r="E197" s="126"/>
      <c r="F197" s="126"/>
      <c r="G197" s="123"/>
      <c r="H197" s="126"/>
      <c r="I197" s="123"/>
      <c r="J197" s="123"/>
      <c r="K197" s="123"/>
      <c r="L197" s="126"/>
      <c r="M197" s="126"/>
      <c r="N197" s="126"/>
      <c r="O197" s="126"/>
      <c r="P197" s="125">
        <f t="shared" si="23"/>
        <v>0</v>
      </c>
      <c r="Q197" s="126"/>
      <c r="R197" s="126"/>
      <c r="S197" s="126"/>
      <c r="T197" s="126"/>
      <c r="U197" s="126"/>
      <c r="V197" s="126"/>
      <c r="W197" s="126"/>
      <c r="X197" s="125">
        <f t="shared" si="25"/>
        <v>0</v>
      </c>
      <c r="Y197" s="126"/>
      <c r="Z197" s="123"/>
      <c r="AA197" s="123"/>
      <c r="AB197" s="123"/>
      <c r="AC197" s="123"/>
      <c r="AD197" s="125">
        <f t="shared" si="26"/>
        <v>0</v>
      </c>
      <c r="AE197" s="123"/>
      <c r="AF197" s="123"/>
      <c r="AG197" s="123"/>
      <c r="AH197" s="123"/>
      <c r="AI197" s="123"/>
      <c r="AJ197" s="123"/>
      <c r="AK197" s="123"/>
      <c r="AL197" s="123"/>
      <c r="AM197" s="125">
        <f t="shared" si="24"/>
        <v>0</v>
      </c>
      <c r="AN197" s="128"/>
    </row>
    <row r="198" spans="1:56" x14ac:dyDescent="0.25">
      <c r="A198" s="366"/>
      <c r="B198" s="369"/>
      <c r="C198" s="147" t="s">
        <v>66</v>
      </c>
      <c r="D198" s="126"/>
      <c r="E198" s="126"/>
      <c r="F198" s="126"/>
      <c r="G198" s="123"/>
      <c r="H198" s="126"/>
      <c r="I198" s="123"/>
      <c r="J198" s="123"/>
      <c r="K198" s="123"/>
      <c r="L198" s="129">
        <v>6</v>
      </c>
      <c r="M198" s="129">
        <v>5</v>
      </c>
      <c r="N198" s="129">
        <v>3</v>
      </c>
      <c r="O198" s="123"/>
      <c r="P198" s="125">
        <f t="shared" si="23"/>
        <v>14</v>
      </c>
      <c r="Q198" s="129">
        <v>1</v>
      </c>
      <c r="R198" s="126"/>
      <c r="S198" s="126"/>
      <c r="T198" s="126"/>
      <c r="U198" s="126"/>
      <c r="V198" s="126"/>
      <c r="W198" s="126"/>
      <c r="X198" s="125">
        <f t="shared" si="25"/>
        <v>0</v>
      </c>
      <c r="Y198" s="126"/>
      <c r="Z198" s="123"/>
      <c r="AA198" s="123"/>
      <c r="AB198" s="123"/>
      <c r="AC198" s="123"/>
      <c r="AD198" s="125">
        <f t="shared" si="26"/>
        <v>0</v>
      </c>
      <c r="AE198" s="123"/>
      <c r="AF198" s="123"/>
      <c r="AG198" s="123"/>
      <c r="AH198" s="123"/>
      <c r="AI198" s="123"/>
      <c r="AJ198" s="123"/>
      <c r="AK198" s="123"/>
      <c r="AL198" s="123"/>
      <c r="AM198" s="125">
        <f t="shared" si="24"/>
        <v>0</v>
      </c>
      <c r="AN198" s="128"/>
    </row>
    <row r="199" spans="1:56" s="217" customFormat="1" x14ac:dyDescent="0.25">
      <c r="A199" s="367"/>
      <c r="B199" s="370"/>
      <c r="C199" s="221" t="s">
        <v>67</v>
      </c>
      <c r="D199" s="222"/>
      <c r="E199" s="222"/>
      <c r="F199" s="222"/>
      <c r="G199" s="214"/>
      <c r="H199" s="222"/>
      <c r="I199" s="214"/>
      <c r="J199" s="214"/>
      <c r="K199" s="214"/>
      <c r="L199" s="223">
        <v>2</v>
      </c>
      <c r="M199" s="223">
        <v>1</v>
      </c>
      <c r="N199" s="223">
        <v>1</v>
      </c>
      <c r="O199" s="214"/>
      <c r="P199" s="215">
        <f t="shared" si="23"/>
        <v>4</v>
      </c>
      <c r="Q199" s="223">
        <v>15</v>
      </c>
      <c r="R199" s="222"/>
      <c r="S199" s="222"/>
      <c r="T199" s="222"/>
      <c r="U199" s="222"/>
      <c r="V199" s="222"/>
      <c r="W199" s="222"/>
      <c r="X199" s="215">
        <f t="shared" si="25"/>
        <v>0</v>
      </c>
      <c r="Y199" s="222"/>
      <c r="Z199" s="214"/>
      <c r="AA199" s="214"/>
      <c r="AB199" s="214"/>
      <c r="AC199" s="214"/>
      <c r="AD199" s="215">
        <f t="shared" si="26"/>
        <v>0</v>
      </c>
      <c r="AE199" s="214"/>
      <c r="AF199" s="214"/>
      <c r="AG199" s="214"/>
      <c r="AH199" s="214"/>
      <c r="AI199" s="214"/>
      <c r="AJ199" s="214"/>
      <c r="AK199" s="214"/>
      <c r="AL199" s="214"/>
      <c r="AM199" s="215">
        <f t="shared" si="24"/>
        <v>0</v>
      </c>
      <c r="AN199" s="216"/>
      <c r="AP199" s="218"/>
      <c r="AQ199" s="218"/>
      <c r="AR199" s="218"/>
      <c r="AS199" s="218"/>
      <c r="AT199" s="218"/>
      <c r="AU199" s="218"/>
      <c r="AV199" s="218"/>
      <c r="AW199" s="218"/>
      <c r="AX199" s="218"/>
      <c r="AY199" s="218"/>
      <c r="AZ199" s="218"/>
      <c r="BA199" s="218"/>
      <c r="BB199" s="218"/>
      <c r="BC199" s="218"/>
      <c r="BD199" s="224"/>
    </row>
    <row r="200" spans="1:56" s="83" customFormat="1" x14ac:dyDescent="0.25">
      <c r="A200" s="365">
        <v>17</v>
      </c>
      <c r="B200" s="368" t="s">
        <v>36</v>
      </c>
      <c r="C200" s="228" t="s">
        <v>56</v>
      </c>
      <c r="D200" s="230">
        <v>1</v>
      </c>
      <c r="E200" s="229"/>
      <c r="F200" s="229"/>
      <c r="G200" s="230">
        <v>2</v>
      </c>
      <c r="H200" s="230">
        <v>1</v>
      </c>
      <c r="I200" s="229"/>
      <c r="J200" s="230">
        <v>1</v>
      </c>
      <c r="K200" s="229"/>
      <c r="L200" s="229"/>
      <c r="M200" s="229"/>
      <c r="N200" s="229"/>
      <c r="O200" s="229"/>
      <c r="P200" s="209">
        <f t="shared" ref="P200:P263" si="27">SUM(D200:O200)</f>
        <v>5</v>
      </c>
      <c r="Q200" s="229"/>
      <c r="R200" s="230">
        <v>1</v>
      </c>
      <c r="S200" s="229"/>
      <c r="T200" s="229"/>
      <c r="U200" s="229"/>
      <c r="V200" s="229"/>
      <c r="W200" s="229"/>
      <c r="X200" s="209">
        <f t="shared" si="25"/>
        <v>1</v>
      </c>
      <c r="Y200" s="230">
        <f>110+270+1982+50</f>
        <v>2412</v>
      </c>
      <c r="Z200" s="230">
        <v>1</v>
      </c>
      <c r="AA200" s="229"/>
      <c r="AB200" s="230">
        <v>1</v>
      </c>
      <c r="AC200" s="229"/>
      <c r="AD200" s="209">
        <f t="shared" si="26"/>
        <v>2414</v>
      </c>
      <c r="AE200" s="229"/>
      <c r="AF200" s="230">
        <f>18+387+80</f>
        <v>485</v>
      </c>
      <c r="AG200" s="230">
        <v>100</v>
      </c>
      <c r="AH200" s="230">
        <f>3+230</f>
        <v>233</v>
      </c>
      <c r="AI200" s="229"/>
      <c r="AJ200" s="229"/>
      <c r="AK200" s="229"/>
      <c r="AL200" s="229"/>
      <c r="AM200" s="209">
        <f t="shared" si="24"/>
        <v>2415</v>
      </c>
      <c r="AN200" s="234">
        <f>500000000+2835940+14283750000+185000000</f>
        <v>14971585940</v>
      </c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 s="88"/>
    </row>
    <row r="201" spans="1:56" x14ac:dyDescent="0.25">
      <c r="A201" s="366"/>
      <c r="B201" s="369"/>
      <c r="C201" s="122" t="s">
        <v>57</v>
      </c>
      <c r="D201" s="123"/>
      <c r="E201" s="123"/>
      <c r="F201" s="126"/>
      <c r="G201" s="123"/>
      <c r="H201" s="123"/>
      <c r="I201" s="123"/>
      <c r="J201" s="123"/>
      <c r="K201" s="123"/>
      <c r="L201" s="126"/>
      <c r="M201" s="126"/>
      <c r="N201" s="126"/>
      <c r="O201" s="126"/>
      <c r="P201" s="125">
        <f t="shared" si="27"/>
        <v>0</v>
      </c>
      <c r="Q201" s="126"/>
      <c r="R201" s="126"/>
      <c r="S201" s="126"/>
      <c r="T201" s="126"/>
      <c r="U201" s="126"/>
      <c r="V201" s="126"/>
      <c r="W201" s="126"/>
      <c r="X201" s="125">
        <f t="shared" si="25"/>
        <v>0</v>
      </c>
      <c r="Y201" s="126"/>
      <c r="Z201" s="123"/>
      <c r="AA201" s="123"/>
      <c r="AB201" s="123"/>
      <c r="AC201" s="123"/>
      <c r="AD201" s="125">
        <f t="shared" si="26"/>
        <v>0</v>
      </c>
      <c r="AE201" s="123"/>
      <c r="AF201" s="123">
        <v>0</v>
      </c>
      <c r="AG201" s="123"/>
      <c r="AH201" s="123"/>
      <c r="AI201" s="123"/>
      <c r="AJ201" s="123"/>
      <c r="AK201" s="123"/>
      <c r="AL201" s="123"/>
      <c r="AM201" s="125">
        <f t="shared" si="24"/>
        <v>0</v>
      </c>
      <c r="AN201" s="128"/>
    </row>
    <row r="202" spans="1:56" x14ac:dyDescent="0.25">
      <c r="A202" s="366"/>
      <c r="B202" s="369"/>
      <c r="C202" s="122" t="s">
        <v>58</v>
      </c>
      <c r="D202" s="123"/>
      <c r="E202" s="123"/>
      <c r="F202" s="123"/>
      <c r="G202" s="129">
        <v>2</v>
      </c>
      <c r="H202" s="129">
        <v>1</v>
      </c>
      <c r="I202" s="123"/>
      <c r="J202" s="123"/>
      <c r="K202" s="123"/>
      <c r="L202" s="123"/>
      <c r="M202" s="123"/>
      <c r="N202" s="123"/>
      <c r="O202" s="123"/>
      <c r="P202" s="125">
        <f t="shared" si="27"/>
        <v>3</v>
      </c>
      <c r="Q202" s="129">
        <v>2</v>
      </c>
      <c r="R202" s="126"/>
      <c r="S202" s="126"/>
      <c r="T202" s="126"/>
      <c r="U202" s="126"/>
      <c r="V202" s="129">
        <v>6</v>
      </c>
      <c r="W202" s="126"/>
      <c r="X202" s="125">
        <f t="shared" si="25"/>
        <v>6</v>
      </c>
      <c r="Y202" s="129">
        <f>18+2</f>
        <v>20</v>
      </c>
      <c r="Z202" s="123"/>
      <c r="AA202" s="129">
        <v>1</v>
      </c>
      <c r="AB202" s="123"/>
      <c r="AC202" s="129">
        <v>1</v>
      </c>
      <c r="AD202" s="125">
        <f t="shared" si="26"/>
        <v>22</v>
      </c>
      <c r="AE202" s="123"/>
      <c r="AF202" s="123"/>
      <c r="AG202" s="123"/>
      <c r="AH202" s="123"/>
      <c r="AI202" s="123"/>
      <c r="AJ202" s="123"/>
      <c r="AK202" s="123"/>
      <c r="AL202" s="123"/>
      <c r="AM202" s="125">
        <f t="shared" si="24"/>
        <v>28</v>
      </c>
      <c r="AN202" s="138">
        <f>60000000+148360000</f>
        <v>208360000</v>
      </c>
    </row>
    <row r="203" spans="1:56" x14ac:dyDescent="0.25">
      <c r="A203" s="366"/>
      <c r="B203" s="369"/>
      <c r="C203" s="122" t="s">
        <v>59</v>
      </c>
      <c r="D203" s="126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5">
        <f t="shared" si="27"/>
        <v>0</v>
      </c>
      <c r="Q203" s="126"/>
      <c r="R203" s="126"/>
      <c r="S203" s="126"/>
      <c r="T203" s="126"/>
      <c r="U203" s="126"/>
      <c r="V203" s="126"/>
      <c r="W203" s="126"/>
      <c r="X203" s="125">
        <f t="shared" si="25"/>
        <v>0</v>
      </c>
      <c r="Y203" s="126"/>
      <c r="Z203" s="123"/>
      <c r="AA203" s="123"/>
      <c r="AB203" s="123"/>
      <c r="AC203" s="123"/>
      <c r="AD203" s="125">
        <f t="shared" si="26"/>
        <v>0</v>
      </c>
      <c r="AE203" s="123"/>
      <c r="AF203" s="123"/>
      <c r="AG203" s="123"/>
      <c r="AH203" s="123"/>
      <c r="AI203" s="123"/>
      <c r="AJ203" s="123"/>
      <c r="AK203" s="123"/>
      <c r="AL203" s="123"/>
      <c r="AM203" s="125">
        <f t="shared" si="24"/>
        <v>0</v>
      </c>
      <c r="AN203" s="128"/>
    </row>
    <row r="204" spans="1:56" x14ac:dyDescent="0.25">
      <c r="A204" s="366"/>
      <c r="B204" s="369"/>
      <c r="C204" s="122" t="s">
        <v>60</v>
      </c>
      <c r="D204" s="126"/>
      <c r="E204" s="123"/>
      <c r="F204" s="123"/>
      <c r="G204" s="126"/>
      <c r="H204" s="123"/>
      <c r="I204" s="123"/>
      <c r="J204" s="126"/>
      <c r="K204" s="126"/>
      <c r="L204" s="126"/>
      <c r="M204" s="126"/>
      <c r="N204" s="126"/>
      <c r="O204" s="126"/>
      <c r="P204" s="125">
        <f t="shared" si="27"/>
        <v>0</v>
      </c>
      <c r="Q204" s="126"/>
      <c r="R204" s="126"/>
      <c r="S204" s="126"/>
      <c r="T204" s="126"/>
      <c r="U204" s="126"/>
      <c r="V204" s="126"/>
      <c r="W204" s="126"/>
      <c r="X204" s="125">
        <f t="shared" si="25"/>
        <v>0</v>
      </c>
      <c r="Y204" s="126"/>
      <c r="Z204" s="123"/>
      <c r="AA204" s="123"/>
      <c r="AB204" s="123"/>
      <c r="AC204" s="123"/>
      <c r="AD204" s="125">
        <f t="shared" si="26"/>
        <v>0</v>
      </c>
      <c r="AE204" s="123"/>
      <c r="AF204" s="123"/>
      <c r="AG204" s="123"/>
      <c r="AH204" s="123"/>
      <c r="AI204" s="123"/>
      <c r="AJ204" s="123"/>
      <c r="AK204" s="123"/>
      <c r="AL204" s="123"/>
      <c r="AM204" s="125">
        <f t="shared" si="24"/>
        <v>0</v>
      </c>
      <c r="AN204" s="128"/>
    </row>
    <row r="205" spans="1:56" x14ac:dyDescent="0.25">
      <c r="A205" s="366"/>
      <c r="B205" s="369"/>
      <c r="C205" s="122" t="s">
        <v>61</v>
      </c>
      <c r="D205" s="126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5">
        <f t="shared" si="27"/>
        <v>0</v>
      </c>
      <c r="Q205" s="126"/>
      <c r="R205" s="126"/>
      <c r="S205" s="126"/>
      <c r="T205" s="126"/>
      <c r="U205" s="126"/>
      <c r="V205" s="126"/>
      <c r="W205" s="126"/>
      <c r="X205" s="125">
        <f t="shared" si="25"/>
        <v>0</v>
      </c>
      <c r="Y205" s="123"/>
      <c r="Z205" s="123"/>
      <c r="AA205" s="123"/>
      <c r="AB205" s="123"/>
      <c r="AC205" s="123"/>
      <c r="AD205" s="125">
        <f t="shared" si="26"/>
        <v>0</v>
      </c>
      <c r="AE205" s="123"/>
      <c r="AF205" s="123"/>
      <c r="AG205" s="123"/>
      <c r="AH205" s="123"/>
      <c r="AI205" s="123"/>
      <c r="AJ205" s="123"/>
      <c r="AK205" s="123"/>
      <c r="AL205" s="123"/>
      <c r="AM205" s="125">
        <f t="shared" si="24"/>
        <v>0</v>
      </c>
      <c r="AN205" s="128"/>
    </row>
    <row r="206" spans="1:56" x14ac:dyDescent="0.25">
      <c r="A206" s="366"/>
      <c r="B206" s="369"/>
      <c r="C206" s="122" t="s">
        <v>62</v>
      </c>
      <c r="D206" s="123"/>
      <c r="E206" s="129">
        <v>1</v>
      </c>
      <c r="F206" s="126"/>
      <c r="G206" s="129">
        <v>1</v>
      </c>
      <c r="H206" s="123"/>
      <c r="I206" s="129">
        <v>1</v>
      </c>
      <c r="J206" s="123"/>
      <c r="K206" s="129">
        <v>1</v>
      </c>
      <c r="L206" s="123"/>
      <c r="M206" s="129">
        <v>3</v>
      </c>
      <c r="N206" s="123"/>
      <c r="O206" s="123"/>
      <c r="P206" s="125">
        <f t="shared" si="27"/>
        <v>7</v>
      </c>
      <c r="Q206" s="129">
        <v>6</v>
      </c>
      <c r="R206" s="126"/>
      <c r="S206" s="126"/>
      <c r="T206" s="126"/>
      <c r="U206" s="126"/>
      <c r="V206" s="129">
        <v>24</v>
      </c>
      <c r="W206" s="126"/>
      <c r="X206" s="125">
        <f t="shared" si="25"/>
        <v>24</v>
      </c>
      <c r="Y206" s="129">
        <f>1+1+1+6</f>
        <v>9</v>
      </c>
      <c r="Z206" s="123"/>
      <c r="AA206" s="123"/>
      <c r="AB206" s="123"/>
      <c r="AC206" s="123"/>
      <c r="AD206" s="125">
        <f t="shared" si="26"/>
        <v>9</v>
      </c>
      <c r="AE206" s="123"/>
      <c r="AF206" s="123"/>
      <c r="AG206" s="123"/>
      <c r="AH206" s="123"/>
      <c r="AI206" s="123"/>
      <c r="AJ206" s="129">
        <v>1</v>
      </c>
      <c r="AK206" s="123"/>
      <c r="AL206" s="123"/>
      <c r="AM206" s="125">
        <f t="shared" si="24"/>
        <v>33</v>
      </c>
      <c r="AN206" s="138">
        <f>300000000+150000000+500000000+784000000</f>
        <v>1734000000</v>
      </c>
    </row>
    <row r="207" spans="1:56" x14ac:dyDescent="0.25">
      <c r="A207" s="366"/>
      <c r="B207" s="369"/>
      <c r="C207" s="122" t="s">
        <v>63</v>
      </c>
      <c r="D207" s="123"/>
      <c r="E207" s="129">
        <v>1</v>
      </c>
      <c r="F207" s="123"/>
      <c r="G207" s="126"/>
      <c r="H207" s="123"/>
      <c r="I207" s="123"/>
      <c r="J207" s="123"/>
      <c r="K207" s="123"/>
      <c r="L207" s="123"/>
      <c r="M207" s="123"/>
      <c r="N207" s="123"/>
      <c r="O207" s="129">
        <v>1</v>
      </c>
      <c r="P207" s="125">
        <f t="shared" si="27"/>
        <v>2</v>
      </c>
      <c r="Q207" s="129">
        <v>6</v>
      </c>
      <c r="R207" s="126"/>
      <c r="S207" s="126"/>
      <c r="T207" s="126"/>
      <c r="U207" s="126"/>
      <c r="V207" s="126"/>
      <c r="W207" s="126"/>
      <c r="X207" s="125">
        <f t="shared" si="25"/>
        <v>0</v>
      </c>
      <c r="Y207" s="129">
        <f>4+1</f>
        <v>5</v>
      </c>
      <c r="Z207" s="123"/>
      <c r="AA207" s="123"/>
      <c r="AB207" s="123"/>
      <c r="AC207" s="123"/>
      <c r="AD207" s="125">
        <f t="shared" si="26"/>
        <v>5</v>
      </c>
      <c r="AE207" s="123"/>
      <c r="AF207" s="123"/>
      <c r="AG207" s="123"/>
      <c r="AH207" s="123"/>
      <c r="AI207" s="123"/>
      <c r="AJ207" s="129">
        <v>1</v>
      </c>
      <c r="AK207" s="123"/>
      <c r="AL207" s="123"/>
      <c r="AM207" s="125">
        <f t="shared" si="24"/>
        <v>5</v>
      </c>
      <c r="AN207" s="138">
        <f>300000000+20000000</f>
        <v>320000000</v>
      </c>
    </row>
    <row r="208" spans="1:56" x14ac:dyDescent="0.25">
      <c r="A208" s="366"/>
      <c r="B208" s="369"/>
      <c r="C208" s="122" t="s">
        <v>64</v>
      </c>
      <c r="D208" s="123"/>
      <c r="E208" s="123"/>
      <c r="F208" s="126"/>
      <c r="G208" s="123"/>
      <c r="H208" s="126"/>
      <c r="I208" s="123"/>
      <c r="J208" s="123"/>
      <c r="K208" s="123"/>
      <c r="L208" s="123"/>
      <c r="M208" s="123"/>
      <c r="N208" s="123"/>
      <c r="O208" s="123"/>
      <c r="P208" s="125">
        <f t="shared" si="27"/>
        <v>0</v>
      </c>
      <c r="Q208" s="126"/>
      <c r="R208" s="126"/>
      <c r="S208" s="126"/>
      <c r="T208" s="126"/>
      <c r="U208" s="126"/>
      <c r="V208" s="126"/>
      <c r="W208" s="126"/>
      <c r="X208" s="125">
        <f t="shared" si="25"/>
        <v>0</v>
      </c>
      <c r="Y208" s="126"/>
      <c r="Z208" s="123"/>
      <c r="AA208" s="123"/>
      <c r="AB208" s="123"/>
      <c r="AC208" s="123"/>
      <c r="AD208" s="125">
        <f t="shared" si="26"/>
        <v>0</v>
      </c>
      <c r="AE208" s="123"/>
      <c r="AF208" s="123"/>
      <c r="AG208" s="123"/>
      <c r="AH208" s="123"/>
      <c r="AI208" s="123"/>
      <c r="AJ208" s="123"/>
      <c r="AK208" s="123"/>
      <c r="AL208" s="123"/>
      <c r="AM208" s="125">
        <f t="shared" si="24"/>
        <v>0</v>
      </c>
      <c r="AN208" s="128"/>
    </row>
    <row r="209" spans="1:56" x14ac:dyDescent="0.25">
      <c r="A209" s="366"/>
      <c r="B209" s="369"/>
      <c r="C209" s="140" t="s">
        <v>65</v>
      </c>
      <c r="D209" s="123"/>
      <c r="E209" s="123"/>
      <c r="F209" s="123"/>
      <c r="G209" s="123"/>
      <c r="H209" s="126"/>
      <c r="I209" s="123"/>
      <c r="J209" s="123"/>
      <c r="K209" s="123"/>
      <c r="L209" s="123"/>
      <c r="M209" s="123"/>
      <c r="N209" s="123"/>
      <c r="O209" s="123"/>
      <c r="P209" s="125">
        <f t="shared" si="27"/>
        <v>0</v>
      </c>
      <c r="Q209" s="126"/>
      <c r="R209" s="126"/>
      <c r="S209" s="126"/>
      <c r="T209" s="126"/>
      <c r="U209" s="126"/>
      <c r="V209" s="126"/>
      <c r="W209" s="126"/>
      <c r="X209" s="125">
        <f t="shared" si="25"/>
        <v>0</v>
      </c>
      <c r="Y209" s="126"/>
      <c r="Z209" s="123"/>
      <c r="AA209" s="123"/>
      <c r="AB209" s="123"/>
      <c r="AC209" s="123"/>
      <c r="AD209" s="125">
        <f t="shared" si="26"/>
        <v>0</v>
      </c>
      <c r="AE209" s="123"/>
      <c r="AF209" s="123"/>
      <c r="AG209" s="123"/>
      <c r="AH209" s="123"/>
      <c r="AI209" s="123"/>
      <c r="AJ209" s="123"/>
      <c r="AK209" s="123"/>
      <c r="AL209" s="123"/>
      <c r="AM209" s="125">
        <f t="shared" si="24"/>
        <v>0</v>
      </c>
      <c r="AN209" s="128"/>
    </row>
    <row r="210" spans="1:56" x14ac:dyDescent="0.25">
      <c r="A210" s="366"/>
      <c r="B210" s="369"/>
      <c r="C210" s="147" t="s">
        <v>66</v>
      </c>
      <c r="D210" s="123"/>
      <c r="E210" s="123"/>
      <c r="F210" s="123"/>
      <c r="G210" s="123"/>
      <c r="H210" s="126"/>
      <c r="I210" s="123"/>
      <c r="J210" s="123"/>
      <c r="K210" s="123"/>
      <c r="L210" s="123"/>
      <c r="M210" s="123"/>
      <c r="N210" s="123"/>
      <c r="O210" s="123"/>
      <c r="P210" s="125">
        <f t="shared" si="27"/>
        <v>0</v>
      </c>
      <c r="Q210" s="126"/>
      <c r="R210" s="126"/>
      <c r="S210" s="126"/>
      <c r="T210" s="126"/>
      <c r="U210" s="126"/>
      <c r="V210" s="126"/>
      <c r="W210" s="126"/>
      <c r="X210" s="125">
        <f t="shared" si="25"/>
        <v>0</v>
      </c>
      <c r="Y210" s="126"/>
      <c r="Z210" s="123"/>
      <c r="AA210" s="123"/>
      <c r="AB210" s="123"/>
      <c r="AC210" s="123"/>
      <c r="AD210" s="125">
        <f t="shared" si="26"/>
        <v>0</v>
      </c>
      <c r="AE210" s="123"/>
      <c r="AF210" s="123"/>
      <c r="AG210" s="123"/>
      <c r="AH210" s="123"/>
      <c r="AI210" s="123"/>
      <c r="AJ210" s="123"/>
      <c r="AK210" s="123"/>
      <c r="AL210" s="123"/>
      <c r="AM210" s="125">
        <f t="shared" si="24"/>
        <v>0</v>
      </c>
      <c r="AN210" s="128"/>
    </row>
    <row r="211" spans="1:56" s="217" customFormat="1" x14ac:dyDescent="0.25">
      <c r="A211" s="367"/>
      <c r="B211" s="370"/>
      <c r="C211" s="221" t="s">
        <v>67</v>
      </c>
      <c r="D211" s="214"/>
      <c r="E211" s="214"/>
      <c r="F211" s="214"/>
      <c r="G211" s="214"/>
      <c r="H211" s="222"/>
      <c r="I211" s="214"/>
      <c r="J211" s="214"/>
      <c r="K211" s="214"/>
      <c r="L211" s="214"/>
      <c r="M211" s="214"/>
      <c r="N211" s="214"/>
      <c r="O211" s="214"/>
      <c r="P211" s="215">
        <f t="shared" si="27"/>
        <v>0</v>
      </c>
      <c r="Q211" s="222"/>
      <c r="R211" s="222"/>
      <c r="S211" s="222"/>
      <c r="T211" s="222"/>
      <c r="U211" s="222"/>
      <c r="V211" s="222"/>
      <c r="W211" s="222"/>
      <c r="X211" s="215">
        <f t="shared" si="25"/>
        <v>0</v>
      </c>
      <c r="Y211" s="222"/>
      <c r="Z211" s="214"/>
      <c r="AA211" s="214"/>
      <c r="AB211" s="214"/>
      <c r="AC211" s="214"/>
      <c r="AD211" s="215">
        <f t="shared" si="26"/>
        <v>0</v>
      </c>
      <c r="AE211" s="214"/>
      <c r="AF211" s="214"/>
      <c r="AG211" s="214"/>
      <c r="AH211" s="214"/>
      <c r="AI211" s="214"/>
      <c r="AJ211" s="214"/>
      <c r="AK211" s="214"/>
      <c r="AL211" s="214"/>
      <c r="AM211" s="215">
        <f t="shared" si="24"/>
        <v>0</v>
      </c>
      <c r="AN211" s="216"/>
      <c r="AP211" s="218"/>
      <c r="AQ211" s="218"/>
      <c r="AR211" s="218"/>
      <c r="AS211" s="218"/>
      <c r="AT211" s="218"/>
      <c r="AU211" s="218"/>
      <c r="AV211" s="218"/>
      <c r="AW211" s="218"/>
      <c r="AX211" s="218"/>
      <c r="AY211" s="218"/>
      <c r="AZ211" s="218"/>
      <c r="BA211" s="218"/>
      <c r="BB211" s="218"/>
      <c r="BC211" s="218"/>
      <c r="BD211" s="224"/>
    </row>
    <row r="212" spans="1:56" s="83" customFormat="1" x14ac:dyDescent="0.25">
      <c r="A212" s="365">
        <v>18</v>
      </c>
      <c r="B212" s="368" t="s">
        <v>34</v>
      </c>
      <c r="C212" s="143" t="s">
        <v>56</v>
      </c>
      <c r="D212" s="235"/>
      <c r="E212" s="235"/>
      <c r="F212" s="235"/>
      <c r="G212" s="235"/>
      <c r="H212" s="235"/>
      <c r="I212" s="235"/>
      <c r="J212" s="207"/>
      <c r="K212" s="207"/>
      <c r="L212" s="207"/>
      <c r="M212" s="207"/>
      <c r="N212" s="207"/>
      <c r="O212" s="207"/>
      <c r="P212" s="209">
        <f t="shared" si="27"/>
        <v>0</v>
      </c>
      <c r="Q212" s="207"/>
      <c r="R212" s="207"/>
      <c r="S212" s="207"/>
      <c r="T212" s="207"/>
      <c r="U212" s="207"/>
      <c r="V212" s="207"/>
      <c r="W212" s="207"/>
      <c r="X212" s="209">
        <f t="shared" si="25"/>
        <v>0</v>
      </c>
      <c r="Y212" s="235"/>
      <c r="Z212" s="235"/>
      <c r="AA212" s="235"/>
      <c r="AB212" s="235"/>
      <c r="AC212" s="235"/>
      <c r="AD212" s="209">
        <f t="shared" si="26"/>
        <v>0</v>
      </c>
      <c r="AE212" s="235"/>
      <c r="AF212" s="235"/>
      <c r="AG212" s="235"/>
      <c r="AH212" s="235"/>
      <c r="AI212" s="235"/>
      <c r="AJ212" s="235"/>
      <c r="AK212" s="235"/>
      <c r="AL212" s="235"/>
      <c r="AM212" s="209">
        <f t="shared" ref="AM212:AM275" si="28">SUM(AD212,X212)</f>
        <v>0</v>
      </c>
      <c r="AN212" s="236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 s="88"/>
    </row>
    <row r="213" spans="1:56" x14ac:dyDescent="0.25">
      <c r="A213" s="366"/>
      <c r="B213" s="369"/>
      <c r="C213" s="122" t="s">
        <v>57</v>
      </c>
      <c r="D213" s="123"/>
      <c r="E213" s="123"/>
      <c r="F213" s="123"/>
      <c r="G213" s="123"/>
      <c r="H213" s="123"/>
      <c r="I213" s="123"/>
      <c r="J213" s="126"/>
      <c r="K213" s="126"/>
      <c r="L213" s="126"/>
      <c r="M213" s="126"/>
      <c r="N213" s="126"/>
      <c r="O213" s="126"/>
      <c r="P213" s="125">
        <f t="shared" si="27"/>
        <v>0</v>
      </c>
      <c r="Q213" s="126"/>
      <c r="R213" s="126"/>
      <c r="S213" s="126"/>
      <c r="T213" s="126"/>
      <c r="U213" s="126"/>
      <c r="V213" s="126"/>
      <c r="W213" s="126"/>
      <c r="X213" s="125">
        <f t="shared" si="25"/>
        <v>0</v>
      </c>
      <c r="Y213" s="126"/>
      <c r="Z213" s="123"/>
      <c r="AA213" s="123"/>
      <c r="AB213" s="123"/>
      <c r="AC213" s="123"/>
      <c r="AD213" s="125">
        <f t="shared" si="26"/>
        <v>0</v>
      </c>
      <c r="AE213" s="123"/>
      <c r="AF213" s="123">
        <v>0</v>
      </c>
      <c r="AG213" s="123"/>
      <c r="AH213" s="123"/>
      <c r="AI213" s="123"/>
      <c r="AJ213" s="123"/>
      <c r="AK213" s="123"/>
      <c r="AL213" s="123"/>
      <c r="AM213" s="125">
        <f t="shared" si="28"/>
        <v>0</v>
      </c>
      <c r="AN213" s="128"/>
    </row>
    <row r="214" spans="1:56" x14ac:dyDescent="0.25">
      <c r="A214" s="366"/>
      <c r="B214" s="369"/>
      <c r="C214" s="122" t="s">
        <v>58</v>
      </c>
      <c r="D214" s="123"/>
      <c r="E214" s="129">
        <v>2</v>
      </c>
      <c r="F214" s="129">
        <v>3</v>
      </c>
      <c r="G214" s="129">
        <v>2</v>
      </c>
      <c r="H214" s="123"/>
      <c r="I214" s="123"/>
      <c r="J214" s="126"/>
      <c r="K214" s="126"/>
      <c r="L214" s="126"/>
      <c r="M214" s="126"/>
      <c r="N214" s="126"/>
      <c r="O214" s="126"/>
      <c r="P214" s="125">
        <f t="shared" si="27"/>
        <v>7</v>
      </c>
      <c r="Q214" s="129">
        <f>3+2+2</f>
        <v>7</v>
      </c>
      <c r="R214" s="126"/>
      <c r="S214" s="126"/>
      <c r="T214" s="126"/>
      <c r="U214" s="126"/>
      <c r="V214" s="129">
        <v>2</v>
      </c>
      <c r="W214" s="126"/>
      <c r="X214" s="125">
        <f t="shared" si="25"/>
        <v>2</v>
      </c>
      <c r="Y214" s="129">
        <f>2+2+2</f>
        <v>6</v>
      </c>
      <c r="Z214" s="123"/>
      <c r="AA214" s="123"/>
      <c r="AB214" s="123"/>
      <c r="AC214" s="123"/>
      <c r="AD214" s="125">
        <f t="shared" si="26"/>
        <v>6</v>
      </c>
      <c r="AE214" s="123"/>
      <c r="AF214" s="123"/>
      <c r="AG214" s="123"/>
      <c r="AH214" s="123"/>
      <c r="AI214" s="123"/>
      <c r="AJ214" s="123"/>
      <c r="AK214" s="123"/>
      <c r="AL214" s="123"/>
      <c r="AM214" s="125">
        <f t="shared" si="28"/>
        <v>8</v>
      </c>
      <c r="AN214" s="138">
        <v>50000000</v>
      </c>
    </row>
    <row r="215" spans="1:56" x14ac:dyDescent="0.25">
      <c r="A215" s="366"/>
      <c r="B215" s="369"/>
      <c r="C215" s="122" t="s">
        <v>59</v>
      </c>
      <c r="D215" s="123"/>
      <c r="E215" s="123"/>
      <c r="F215" s="126"/>
      <c r="G215" s="123"/>
      <c r="H215" s="123"/>
      <c r="I215" s="123"/>
      <c r="J215" s="123"/>
      <c r="K215" s="123"/>
      <c r="L215" s="123"/>
      <c r="M215" s="123"/>
      <c r="N215" s="123"/>
      <c r="O215" s="123"/>
      <c r="P215" s="125">
        <f t="shared" si="27"/>
        <v>0</v>
      </c>
      <c r="Q215" s="126"/>
      <c r="R215" s="126"/>
      <c r="S215" s="126"/>
      <c r="T215" s="126"/>
      <c r="U215" s="126"/>
      <c r="V215" s="126"/>
      <c r="W215" s="126"/>
      <c r="X215" s="125">
        <f t="shared" si="25"/>
        <v>0</v>
      </c>
      <c r="Y215" s="123"/>
      <c r="Z215" s="123"/>
      <c r="AA215" s="123"/>
      <c r="AB215" s="123"/>
      <c r="AC215" s="123"/>
      <c r="AD215" s="125">
        <f t="shared" si="26"/>
        <v>0</v>
      </c>
      <c r="AE215" s="123"/>
      <c r="AF215" s="123"/>
      <c r="AG215" s="123"/>
      <c r="AH215" s="123"/>
      <c r="AI215" s="123"/>
      <c r="AJ215" s="123"/>
      <c r="AK215" s="123"/>
      <c r="AL215" s="123"/>
      <c r="AM215" s="125">
        <f t="shared" si="28"/>
        <v>0</v>
      </c>
      <c r="AN215" s="128"/>
    </row>
    <row r="216" spans="1:56" x14ac:dyDescent="0.25">
      <c r="A216" s="366"/>
      <c r="B216" s="369"/>
      <c r="C216" s="122" t="s">
        <v>60</v>
      </c>
      <c r="D216" s="123"/>
      <c r="E216" s="123"/>
      <c r="F216" s="126"/>
      <c r="G216" s="123"/>
      <c r="H216" s="123"/>
      <c r="I216" s="123"/>
      <c r="J216" s="123"/>
      <c r="K216" s="123"/>
      <c r="L216" s="126"/>
      <c r="M216" s="126"/>
      <c r="N216" s="126"/>
      <c r="O216" s="126"/>
      <c r="P216" s="125">
        <f t="shared" si="27"/>
        <v>0</v>
      </c>
      <c r="Q216" s="126"/>
      <c r="R216" s="126"/>
      <c r="S216" s="126"/>
      <c r="T216" s="126"/>
      <c r="U216" s="126"/>
      <c r="V216" s="126"/>
      <c r="W216" s="126"/>
      <c r="X216" s="125">
        <f t="shared" si="25"/>
        <v>0</v>
      </c>
      <c r="Y216" s="126"/>
      <c r="Z216" s="123"/>
      <c r="AA216" s="123"/>
      <c r="AB216" s="123"/>
      <c r="AC216" s="123"/>
      <c r="AD216" s="125">
        <f t="shared" si="26"/>
        <v>0</v>
      </c>
      <c r="AE216" s="123"/>
      <c r="AF216" s="123"/>
      <c r="AG216" s="123"/>
      <c r="AH216" s="123"/>
      <c r="AI216" s="123"/>
      <c r="AJ216" s="123"/>
      <c r="AK216" s="123"/>
      <c r="AL216" s="123"/>
      <c r="AM216" s="125">
        <f t="shared" si="28"/>
        <v>0</v>
      </c>
      <c r="AN216" s="128"/>
    </row>
    <row r="217" spans="1:56" x14ac:dyDescent="0.25">
      <c r="A217" s="366"/>
      <c r="B217" s="369"/>
      <c r="C217" s="122" t="s">
        <v>61</v>
      </c>
      <c r="D217" s="123"/>
      <c r="E217" s="123"/>
      <c r="F217" s="123"/>
      <c r="G217" s="123"/>
      <c r="H217" s="123"/>
      <c r="I217" s="123"/>
      <c r="J217" s="126"/>
      <c r="K217" s="126"/>
      <c r="L217" s="126"/>
      <c r="M217" s="126"/>
      <c r="N217" s="126"/>
      <c r="O217" s="126"/>
      <c r="P217" s="125">
        <f t="shared" si="27"/>
        <v>0</v>
      </c>
      <c r="Q217" s="126"/>
      <c r="R217" s="126"/>
      <c r="S217" s="126"/>
      <c r="T217" s="126"/>
      <c r="U217" s="126"/>
      <c r="V217" s="126"/>
      <c r="W217" s="126"/>
      <c r="X217" s="125">
        <f t="shared" si="25"/>
        <v>0</v>
      </c>
      <c r="Y217" s="123"/>
      <c r="Z217" s="123"/>
      <c r="AA217" s="123"/>
      <c r="AB217" s="123"/>
      <c r="AC217" s="123"/>
      <c r="AD217" s="125">
        <f t="shared" si="26"/>
        <v>0</v>
      </c>
      <c r="AE217" s="123"/>
      <c r="AF217" s="123"/>
      <c r="AG217" s="123"/>
      <c r="AH217" s="123"/>
      <c r="AI217" s="123"/>
      <c r="AJ217" s="123"/>
      <c r="AK217" s="123"/>
      <c r="AL217" s="123"/>
      <c r="AM217" s="125">
        <f t="shared" si="28"/>
        <v>0</v>
      </c>
      <c r="AN217" s="128"/>
    </row>
    <row r="218" spans="1:56" x14ac:dyDescent="0.25">
      <c r="A218" s="366"/>
      <c r="B218" s="369"/>
      <c r="C218" s="122" t="s">
        <v>62</v>
      </c>
      <c r="D218" s="129">
        <v>1</v>
      </c>
      <c r="E218" s="129">
        <v>1</v>
      </c>
      <c r="F218" s="123"/>
      <c r="G218" s="123"/>
      <c r="H218" s="123"/>
      <c r="I218" s="123"/>
      <c r="J218" s="123"/>
      <c r="K218" s="129">
        <v>1</v>
      </c>
      <c r="L218" s="123"/>
      <c r="M218" s="129">
        <v>2</v>
      </c>
      <c r="N218" s="123"/>
      <c r="O218" s="123"/>
      <c r="P218" s="125">
        <f t="shared" si="27"/>
        <v>5</v>
      </c>
      <c r="Q218" s="129">
        <f>1+1+2</f>
        <v>4</v>
      </c>
      <c r="R218" s="123"/>
      <c r="S218" s="123"/>
      <c r="T218" s="123"/>
      <c r="U218" s="123"/>
      <c r="V218" s="123"/>
      <c r="W218" s="123"/>
      <c r="X218" s="125">
        <f t="shared" si="25"/>
        <v>0</v>
      </c>
      <c r="Y218" s="129">
        <f>1+1+2</f>
        <v>4</v>
      </c>
      <c r="Z218" s="129">
        <v>1</v>
      </c>
      <c r="AA218" s="123"/>
      <c r="AB218" s="123"/>
      <c r="AC218" s="123"/>
      <c r="AD218" s="125">
        <f t="shared" si="26"/>
        <v>5</v>
      </c>
      <c r="AE218" s="123"/>
      <c r="AF218" s="123"/>
      <c r="AG218" s="123"/>
      <c r="AH218" s="123"/>
      <c r="AI218" s="123"/>
      <c r="AJ218" s="123"/>
      <c r="AK218" s="123"/>
      <c r="AL218" s="123"/>
      <c r="AM218" s="125">
        <f t="shared" si="28"/>
        <v>5</v>
      </c>
      <c r="AN218" s="138">
        <v>50000000</v>
      </c>
    </row>
    <row r="219" spans="1:56" x14ac:dyDescent="0.25">
      <c r="A219" s="366"/>
      <c r="B219" s="369"/>
      <c r="C219" s="122" t="s">
        <v>63</v>
      </c>
      <c r="D219" s="126"/>
      <c r="E219" s="126"/>
      <c r="F219" s="126"/>
      <c r="G219" s="126"/>
      <c r="H219" s="123"/>
      <c r="I219" s="126"/>
      <c r="J219" s="123"/>
      <c r="K219" s="123"/>
      <c r="L219" s="123"/>
      <c r="M219" s="123"/>
      <c r="N219" s="123"/>
      <c r="O219" s="129">
        <v>1</v>
      </c>
      <c r="P219" s="125">
        <f t="shared" si="27"/>
        <v>1</v>
      </c>
      <c r="Q219" s="126"/>
      <c r="R219" s="126"/>
      <c r="S219" s="126"/>
      <c r="T219" s="126"/>
      <c r="U219" s="126"/>
      <c r="V219" s="126"/>
      <c r="W219" s="126"/>
      <c r="X219" s="125">
        <f t="shared" si="25"/>
        <v>0</v>
      </c>
      <c r="Y219" s="126"/>
      <c r="Z219" s="123"/>
      <c r="AA219" s="123"/>
      <c r="AB219" s="123"/>
      <c r="AC219" s="123"/>
      <c r="AD219" s="125">
        <f t="shared" si="26"/>
        <v>0</v>
      </c>
      <c r="AE219" s="123"/>
      <c r="AF219" s="123"/>
      <c r="AG219" s="123"/>
      <c r="AH219" s="123"/>
      <c r="AI219" s="123"/>
      <c r="AJ219" s="123"/>
      <c r="AK219" s="123"/>
      <c r="AL219" s="123"/>
      <c r="AM219" s="125">
        <f t="shared" si="28"/>
        <v>0</v>
      </c>
      <c r="AN219" s="128"/>
    </row>
    <row r="220" spans="1:56" x14ac:dyDescent="0.25">
      <c r="A220" s="366"/>
      <c r="B220" s="369"/>
      <c r="C220" s="122" t="s">
        <v>64</v>
      </c>
      <c r="D220" s="123"/>
      <c r="E220" s="123"/>
      <c r="F220" s="129">
        <v>2</v>
      </c>
      <c r="G220" s="129">
        <v>3</v>
      </c>
      <c r="H220" s="123"/>
      <c r="I220" s="123"/>
      <c r="J220" s="123"/>
      <c r="K220" s="123"/>
      <c r="L220" s="129">
        <v>1</v>
      </c>
      <c r="M220" s="129">
        <v>1</v>
      </c>
      <c r="N220" s="123"/>
      <c r="O220" s="123"/>
      <c r="P220" s="125">
        <f t="shared" si="27"/>
        <v>7</v>
      </c>
      <c r="Q220" s="129">
        <f>6+2+1</f>
        <v>9</v>
      </c>
      <c r="R220" s="126"/>
      <c r="S220" s="126"/>
      <c r="T220" s="126"/>
      <c r="U220" s="126"/>
      <c r="V220" s="129">
        <v>1</v>
      </c>
      <c r="W220" s="126"/>
      <c r="X220" s="125">
        <f t="shared" si="25"/>
        <v>1</v>
      </c>
      <c r="Y220" s="129">
        <f>7+3+1+1</f>
        <v>12</v>
      </c>
      <c r="Z220" s="123"/>
      <c r="AA220" s="129">
        <v>1</v>
      </c>
      <c r="AB220" s="123"/>
      <c r="AC220" s="123"/>
      <c r="AD220" s="125">
        <f t="shared" si="26"/>
        <v>13</v>
      </c>
      <c r="AE220" s="123"/>
      <c r="AF220" s="123"/>
      <c r="AG220" s="123"/>
      <c r="AH220" s="123"/>
      <c r="AI220" s="123"/>
      <c r="AJ220" s="123"/>
      <c r="AK220" s="123"/>
      <c r="AL220" s="123"/>
      <c r="AM220" s="125">
        <f t="shared" si="28"/>
        <v>14</v>
      </c>
      <c r="AN220" s="138">
        <f>70000000+60000000+50000000+15000000</f>
        <v>195000000</v>
      </c>
    </row>
    <row r="221" spans="1:56" x14ac:dyDescent="0.25">
      <c r="A221" s="366"/>
      <c r="B221" s="369"/>
      <c r="C221" s="140" t="s">
        <v>65</v>
      </c>
      <c r="D221" s="123"/>
      <c r="E221" s="123"/>
      <c r="F221" s="123"/>
      <c r="G221" s="123"/>
      <c r="H221" s="123"/>
      <c r="I221" s="123"/>
      <c r="J221" s="126"/>
      <c r="K221" s="126"/>
      <c r="L221" s="126"/>
      <c r="M221" s="126"/>
      <c r="N221" s="126"/>
      <c r="O221" s="126"/>
      <c r="P221" s="125">
        <f t="shared" si="27"/>
        <v>0</v>
      </c>
      <c r="Q221" s="126"/>
      <c r="R221" s="126"/>
      <c r="S221" s="126"/>
      <c r="T221" s="126"/>
      <c r="U221" s="126"/>
      <c r="V221" s="126"/>
      <c r="W221" s="126"/>
      <c r="X221" s="125">
        <f t="shared" si="25"/>
        <v>0</v>
      </c>
      <c r="Y221" s="123"/>
      <c r="Z221" s="123"/>
      <c r="AA221" s="123"/>
      <c r="AB221" s="123"/>
      <c r="AC221" s="123"/>
      <c r="AD221" s="125">
        <f t="shared" si="26"/>
        <v>0</v>
      </c>
      <c r="AE221" s="123"/>
      <c r="AF221" s="123"/>
      <c r="AG221" s="123"/>
      <c r="AH221" s="123"/>
      <c r="AI221" s="123"/>
      <c r="AJ221" s="123"/>
      <c r="AK221" s="123"/>
      <c r="AL221" s="123"/>
      <c r="AM221" s="125">
        <f t="shared" si="28"/>
        <v>0</v>
      </c>
      <c r="AN221" s="128"/>
    </row>
    <row r="222" spans="1:56" x14ac:dyDescent="0.25">
      <c r="A222" s="366"/>
      <c r="B222" s="369"/>
      <c r="C222" s="147" t="s">
        <v>66</v>
      </c>
      <c r="D222" s="123"/>
      <c r="E222" s="123"/>
      <c r="F222" s="123"/>
      <c r="G222" s="123"/>
      <c r="H222" s="123"/>
      <c r="I222" s="123"/>
      <c r="J222" s="126"/>
      <c r="K222" s="126"/>
      <c r="L222" s="129">
        <v>1</v>
      </c>
      <c r="M222" s="129">
        <v>2</v>
      </c>
      <c r="N222" s="123"/>
      <c r="O222" s="123"/>
      <c r="P222" s="125">
        <f t="shared" si="27"/>
        <v>3</v>
      </c>
      <c r="Q222" s="126"/>
      <c r="R222" s="126"/>
      <c r="S222" s="126"/>
      <c r="T222" s="126"/>
      <c r="U222" s="126"/>
      <c r="V222" s="126"/>
      <c r="W222" s="126"/>
      <c r="X222" s="125">
        <f t="shared" si="25"/>
        <v>0</v>
      </c>
      <c r="Y222" s="123"/>
      <c r="Z222" s="123"/>
      <c r="AA222" s="123"/>
      <c r="AB222" s="123"/>
      <c r="AC222" s="123"/>
      <c r="AD222" s="125">
        <f t="shared" si="26"/>
        <v>0</v>
      </c>
      <c r="AE222" s="123"/>
      <c r="AF222" s="123"/>
      <c r="AG222" s="123"/>
      <c r="AH222" s="123"/>
      <c r="AI222" s="123"/>
      <c r="AJ222" s="123"/>
      <c r="AK222" s="123"/>
      <c r="AL222" s="123"/>
      <c r="AM222" s="125">
        <f t="shared" si="28"/>
        <v>0</v>
      </c>
      <c r="AN222" s="128"/>
    </row>
    <row r="223" spans="1:56" s="217" customFormat="1" x14ac:dyDescent="0.25">
      <c r="A223" s="367"/>
      <c r="B223" s="370"/>
      <c r="C223" s="221" t="s">
        <v>67</v>
      </c>
      <c r="D223" s="214"/>
      <c r="E223" s="214"/>
      <c r="F223" s="214"/>
      <c r="G223" s="214"/>
      <c r="H223" s="214"/>
      <c r="I223" s="214"/>
      <c r="J223" s="222"/>
      <c r="K223" s="222"/>
      <c r="L223" s="223">
        <v>1</v>
      </c>
      <c r="M223" s="214"/>
      <c r="N223" s="214"/>
      <c r="O223" s="214"/>
      <c r="P223" s="215">
        <f t="shared" si="27"/>
        <v>1</v>
      </c>
      <c r="Q223" s="222"/>
      <c r="R223" s="222"/>
      <c r="S223" s="222"/>
      <c r="T223" s="222"/>
      <c r="U223" s="222"/>
      <c r="V223" s="222"/>
      <c r="W223" s="222"/>
      <c r="X223" s="215">
        <f t="shared" si="25"/>
        <v>0</v>
      </c>
      <c r="Y223" s="214"/>
      <c r="Z223" s="214"/>
      <c r="AA223" s="214"/>
      <c r="AB223" s="214"/>
      <c r="AC223" s="214"/>
      <c r="AD223" s="215">
        <f t="shared" si="26"/>
        <v>0</v>
      </c>
      <c r="AE223" s="214"/>
      <c r="AF223" s="214"/>
      <c r="AG223" s="214"/>
      <c r="AH223" s="214"/>
      <c r="AI223" s="214"/>
      <c r="AJ223" s="214"/>
      <c r="AK223" s="214"/>
      <c r="AL223" s="214"/>
      <c r="AM223" s="215">
        <f t="shared" si="28"/>
        <v>0</v>
      </c>
      <c r="AN223" s="216"/>
      <c r="AP223" s="218"/>
      <c r="AQ223" s="218"/>
      <c r="AR223" s="218"/>
      <c r="AS223" s="218"/>
      <c r="AT223" s="218"/>
      <c r="AU223" s="218"/>
      <c r="AV223" s="218"/>
      <c r="AW223" s="218"/>
      <c r="AX223" s="218"/>
      <c r="AY223" s="218"/>
      <c r="AZ223" s="218"/>
      <c r="BA223" s="218"/>
      <c r="BB223" s="218"/>
      <c r="BC223" s="218"/>
      <c r="BD223" s="224"/>
    </row>
    <row r="224" spans="1:56" s="83" customFormat="1" x14ac:dyDescent="0.25">
      <c r="A224" s="365">
        <v>19</v>
      </c>
      <c r="B224" s="368" t="s">
        <v>38</v>
      </c>
      <c r="C224" s="143" t="s">
        <v>56</v>
      </c>
      <c r="D224" s="208">
        <v>1</v>
      </c>
      <c r="E224" s="208">
        <v>1</v>
      </c>
      <c r="F224" s="208">
        <v>5</v>
      </c>
      <c r="G224" s="208">
        <v>1</v>
      </c>
      <c r="H224" s="208">
        <v>2</v>
      </c>
      <c r="I224" s="176"/>
      <c r="J224" s="176"/>
      <c r="K224" s="176"/>
      <c r="L224" s="208">
        <v>1</v>
      </c>
      <c r="M224" s="208">
        <v>1</v>
      </c>
      <c r="N224" s="176"/>
      <c r="O224" s="176"/>
      <c r="P224" s="209">
        <f t="shared" si="27"/>
        <v>12</v>
      </c>
      <c r="Q224" s="208">
        <f>140+733+32+144+142+299</f>
        <v>1490</v>
      </c>
      <c r="R224" s="176"/>
      <c r="S224" s="176"/>
      <c r="T224" s="176"/>
      <c r="U224" s="176"/>
      <c r="V224" s="208">
        <f>678+140+484+768</f>
        <v>2070</v>
      </c>
      <c r="W224" s="208">
        <f>140+64+148+5</f>
        <v>357</v>
      </c>
      <c r="X224" s="209">
        <f t="shared" si="25"/>
        <v>2427</v>
      </c>
      <c r="Y224" s="208">
        <f>140+190+21+125</f>
        <v>476</v>
      </c>
      <c r="Z224" s="208">
        <v>4</v>
      </c>
      <c r="AA224" s="208">
        <f>7+2+5</f>
        <v>14</v>
      </c>
      <c r="AB224" s="208">
        <v>5</v>
      </c>
      <c r="AC224" s="208">
        <v>3</v>
      </c>
      <c r="AD224" s="209">
        <f t="shared" si="26"/>
        <v>502</v>
      </c>
      <c r="AE224" s="208">
        <v>20.5</v>
      </c>
      <c r="AF224" s="208">
        <f>1010+60+65+75</f>
        <v>1210</v>
      </c>
      <c r="AG224" s="176"/>
      <c r="AH224" s="208">
        <f>176.5+87+13220</f>
        <v>13483.5</v>
      </c>
      <c r="AI224" s="208">
        <v>4</v>
      </c>
      <c r="AJ224" s="176"/>
      <c r="AK224" s="176"/>
      <c r="AL224" s="176"/>
      <c r="AM224" s="209">
        <f t="shared" si="28"/>
        <v>2929</v>
      </c>
      <c r="AN224" s="210">
        <v>500000000</v>
      </c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 s="88"/>
    </row>
    <row r="225" spans="1:56" x14ac:dyDescent="0.25">
      <c r="A225" s="366"/>
      <c r="B225" s="369"/>
      <c r="C225" s="122" t="s">
        <v>57</v>
      </c>
      <c r="D225" s="126"/>
      <c r="E225" s="126"/>
      <c r="F225" s="126"/>
      <c r="G225" s="126"/>
      <c r="H225" s="123"/>
      <c r="I225" s="126"/>
      <c r="J225" s="126"/>
      <c r="K225" s="126"/>
      <c r="L225" s="126"/>
      <c r="M225" s="126"/>
      <c r="N225" s="126"/>
      <c r="O225" s="126"/>
      <c r="P225" s="125">
        <f t="shared" si="27"/>
        <v>0</v>
      </c>
      <c r="Q225" s="126"/>
      <c r="R225" s="126"/>
      <c r="S225" s="126"/>
      <c r="T225" s="126"/>
      <c r="U225" s="126"/>
      <c r="V225" s="126"/>
      <c r="W225" s="126"/>
      <c r="X225" s="125">
        <f t="shared" si="25"/>
        <v>0</v>
      </c>
      <c r="Y225" s="126"/>
      <c r="Z225" s="123"/>
      <c r="AA225" s="123"/>
      <c r="AB225" s="123"/>
      <c r="AC225" s="123"/>
      <c r="AD225" s="125">
        <f t="shared" si="26"/>
        <v>0</v>
      </c>
      <c r="AE225" s="123"/>
      <c r="AF225" s="123">
        <v>0</v>
      </c>
      <c r="AG225" s="123"/>
      <c r="AH225" s="123"/>
      <c r="AI225" s="123"/>
      <c r="AJ225" s="123"/>
      <c r="AK225" s="126"/>
      <c r="AL225" s="123"/>
      <c r="AM225" s="125">
        <f t="shared" si="28"/>
        <v>0</v>
      </c>
      <c r="AN225" s="128"/>
    </row>
    <row r="226" spans="1:56" x14ac:dyDescent="0.25">
      <c r="A226" s="366"/>
      <c r="B226" s="369"/>
      <c r="C226" s="122" t="s">
        <v>58</v>
      </c>
      <c r="D226" s="126"/>
      <c r="E226" s="126"/>
      <c r="F226" s="129">
        <v>2</v>
      </c>
      <c r="G226" s="123"/>
      <c r="H226" s="123"/>
      <c r="I226" s="126"/>
      <c r="J226" s="126"/>
      <c r="K226" s="126"/>
      <c r="L226" s="126"/>
      <c r="M226" s="126"/>
      <c r="N226" s="126"/>
      <c r="O226" s="126"/>
      <c r="P226" s="125">
        <f t="shared" si="27"/>
        <v>2</v>
      </c>
      <c r="Q226" s="126"/>
      <c r="R226" s="126"/>
      <c r="S226" s="126"/>
      <c r="T226" s="126"/>
      <c r="U226" s="126"/>
      <c r="V226" s="126"/>
      <c r="W226" s="126"/>
      <c r="X226" s="125">
        <f t="shared" si="25"/>
        <v>0</v>
      </c>
      <c r="Y226" s="126"/>
      <c r="Z226" s="123"/>
      <c r="AA226" s="123"/>
      <c r="AB226" s="123"/>
      <c r="AC226" s="123"/>
      <c r="AD226" s="125">
        <f t="shared" si="26"/>
        <v>0</v>
      </c>
      <c r="AE226" s="123"/>
      <c r="AF226" s="123"/>
      <c r="AG226" s="123"/>
      <c r="AH226" s="129">
        <v>30</v>
      </c>
      <c r="AI226" s="123"/>
      <c r="AJ226" s="123"/>
      <c r="AK226" s="123"/>
      <c r="AL226" s="123"/>
      <c r="AM226" s="125">
        <f t="shared" si="28"/>
        <v>0</v>
      </c>
      <c r="AN226" s="128"/>
    </row>
    <row r="227" spans="1:56" x14ac:dyDescent="0.25">
      <c r="A227" s="366"/>
      <c r="B227" s="369"/>
      <c r="C227" s="122" t="s">
        <v>59</v>
      </c>
      <c r="D227" s="126"/>
      <c r="E227" s="126"/>
      <c r="F227" s="123"/>
      <c r="G227" s="123"/>
      <c r="H227" s="123"/>
      <c r="I227" s="126"/>
      <c r="J227" s="126"/>
      <c r="K227" s="126"/>
      <c r="L227" s="126"/>
      <c r="M227" s="126"/>
      <c r="N227" s="126"/>
      <c r="O227" s="126"/>
      <c r="P227" s="125">
        <f t="shared" si="27"/>
        <v>0</v>
      </c>
      <c r="Q227" s="126"/>
      <c r="R227" s="126"/>
      <c r="S227" s="126"/>
      <c r="T227" s="126"/>
      <c r="U227" s="126"/>
      <c r="V227" s="126"/>
      <c r="W227" s="126"/>
      <c r="X227" s="125">
        <f t="shared" si="25"/>
        <v>0</v>
      </c>
      <c r="Y227" s="126"/>
      <c r="Z227" s="123"/>
      <c r="AA227" s="123"/>
      <c r="AB227" s="123"/>
      <c r="AC227" s="123"/>
      <c r="AD227" s="125">
        <f t="shared" si="26"/>
        <v>0</v>
      </c>
      <c r="AE227" s="123"/>
      <c r="AF227" s="123"/>
      <c r="AG227" s="123"/>
      <c r="AH227" s="123"/>
      <c r="AI227" s="123"/>
      <c r="AJ227" s="123"/>
      <c r="AK227" s="123"/>
      <c r="AL227" s="123"/>
      <c r="AM227" s="125">
        <f t="shared" si="28"/>
        <v>0</v>
      </c>
      <c r="AN227" s="128"/>
    </row>
    <row r="228" spans="1:56" x14ac:dyDescent="0.25">
      <c r="A228" s="366"/>
      <c r="B228" s="369"/>
      <c r="C228" s="122" t="s">
        <v>60</v>
      </c>
      <c r="D228" s="126"/>
      <c r="E228" s="126"/>
      <c r="F228" s="126"/>
      <c r="G228" s="126"/>
      <c r="H228" s="123"/>
      <c r="I228" s="126"/>
      <c r="J228" s="126"/>
      <c r="K228" s="126"/>
      <c r="L228" s="126"/>
      <c r="M228" s="126"/>
      <c r="N228" s="126"/>
      <c r="O228" s="126"/>
      <c r="P228" s="125">
        <f t="shared" si="27"/>
        <v>0</v>
      </c>
      <c r="Q228" s="126"/>
      <c r="R228" s="126"/>
      <c r="S228" s="126"/>
      <c r="T228" s="126"/>
      <c r="U228" s="126"/>
      <c r="V228" s="126"/>
      <c r="W228" s="126"/>
      <c r="X228" s="125">
        <f t="shared" si="25"/>
        <v>0</v>
      </c>
      <c r="Y228" s="126"/>
      <c r="Z228" s="123"/>
      <c r="AA228" s="123"/>
      <c r="AB228" s="123"/>
      <c r="AC228" s="123"/>
      <c r="AD228" s="125">
        <f t="shared" si="26"/>
        <v>0</v>
      </c>
      <c r="AE228" s="123"/>
      <c r="AF228" s="123"/>
      <c r="AG228" s="123"/>
      <c r="AH228" s="123"/>
      <c r="AI228" s="123"/>
      <c r="AJ228" s="123"/>
      <c r="AK228" s="123"/>
      <c r="AL228" s="123"/>
      <c r="AM228" s="125">
        <f t="shared" si="28"/>
        <v>0</v>
      </c>
      <c r="AN228" s="128"/>
    </row>
    <row r="229" spans="1:56" x14ac:dyDescent="0.25">
      <c r="A229" s="366"/>
      <c r="B229" s="369"/>
      <c r="C229" s="122" t="s">
        <v>61</v>
      </c>
      <c r="D229" s="123"/>
      <c r="E229" s="123"/>
      <c r="F229" s="123"/>
      <c r="G229" s="126"/>
      <c r="H229" s="123"/>
      <c r="I229" s="123"/>
      <c r="J229" s="123"/>
      <c r="K229" s="123"/>
      <c r="L229" s="123"/>
      <c r="M229" s="123"/>
      <c r="N229" s="123"/>
      <c r="O229" s="123"/>
      <c r="P229" s="125">
        <f t="shared" si="27"/>
        <v>0</v>
      </c>
      <c r="Q229" s="126"/>
      <c r="R229" s="126"/>
      <c r="S229" s="126"/>
      <c r="T229" s="126"/>
      <c r="U229" s="126"/>
      <c r="V229" s="126"/>
      <c r="W229" s="126"/>
      <c r="X229" s="125">
        <f t="shared" ref="X229:X283" si="29">SUM(R229:W229)</f>
        <v>0</v>
      </c>
      <c r="Y229" s="126"/>
      <c r="Z229" s="123"/>
      <c r="AA229" s="123"/>
      <c r="AB229" s="123"/>
      <c r="AC229" s="123"/>
      <c r="AD229" s="125">
        <f t="shared" si="26"/>
        <v>0</v>
      </c>
      <c r="AE229" s="123"/>
      <c r="AF229" s="123"/>
      <c r="AG229" s="123"/>
      <c r="AH229" s="123"/>
      <c r="AI229" s="123"/>
      <c r="AJ229" s="123"/>
      <c r="AK229" s="123"/>
      <c r="AL229" s="123"/>
      <c r="AM229" s="125">
        <f t="shared" si="28"/>
        <v>0</v>
      </c>
      <c r="AN229" s="128"/>
    </row>
    <row r="230" spans="1:56" x14ac:dyDescent="0.25">
      <c r="A230" s="366"/>
      <c r="B230" s="369"/>
      <c r="C230" s="122" t="s">
        <v>62</v>
      </c>
      <c r="D230" s="129">
        <v>3</v>
      </c>
      <c r="E230" s="123"/>
      <c r="F230" s="129">
        <v>1</v>
      </c>
      <c r="G230" s="123"/>
      <c r="H230" s="123"/>
      <c r="I230" s="129">
        <v>1</v>
      </c>
      <c r="J230" s="123"/>
      <c r="K230" s="123"/>
      <c r="L230" s="129">
        <v>1</v>
      </c>
      <c r="M230" s="129">
        <v>3</v>
      </c>
      <c r="N230" s="129">
        <v>2</v>
      </c>
      <c r="O230" s="129">
        <v>1</v>
      </c>
      <c r="P230" s="125">
        <f t="shared" si="27"/>
        <v>12</v>
      </c>
      <c r="Q230" s="129">
        <f>3+2+1+3+3+1</f>
        <v>13</v>
      </c>
      <c r="R230" s="129">
        <v>1</v>
      </c>
      <c r="S230" s="123"/>
      <c r="T230" s="123"/>
      <c r="U230" s="123"/>
      <c r="V230" s="129">
        <f>10+1+7+6+3</f>
        <v>27</v>
      </c>
      <c r="W230" s="129">
        <f>5+5+8</f>
        <v>18</v>
      </c>
      <c r="X230" s="125">
        <f t="shared" si="29"/>
        <v>46</v>
      </c>
      <c r="Y230" s="129">
        <f>3+1+1+1+2+3+1</f>
        <v>12</v>
      </c>
      <c r="Z230" s="129">
        <v>1</v>
      </c>
      <c r="AA230" s="123"/>
      <c r="AB230" s="123"/>
      <c r="AC230" s="123"/>
      <c r="AD230" s="125">
        <f t="shared" si="26"/>
        <v>13</v>
      </c>
      <c r="AE230" s="123"/>
      <c r="AF230" s="123"/>
      <c r="AG230" s="123"/>
      <c r="AH230" s="123"/>
      <c r="AI230" s="123"/>
      <c r="AJ230" s="123"/>
      <c r="AK230" s="123"/>
      <c r="AL230" s="123"/>
      <c r="AM230" s="125">
        <f t="shared" si="28"/>
        <v>59</v>
      </c>
      <c r="AN230" s="138">
        <f>275000000+35000000+60000000+4000000+75000000+200000000</f>
        <v>649000000</v>
      </c>
    </row>
    <row r="231" spans="1:56" x14ac:dyDescent="0.25">
      <c r="A231" s="366"/>
      <c r="B231" s="369"/>
      <c r="C231" s="122" t="s">
        <v>63</v>
      </c>
      <c r="D231" s="129">
        <v>1</v>
      </c>
      <c r="E231" s="123"/>
      <c r="F231" s="123"/>
      <c r="G231" s="129">
        <v>1</v>
      </c>
      <c r="H231" s="123"/>
      <c r="I231" s="123"/>
      <c r="J231" s="123"/>
      <c r="K231" s="123"/>
      <c r="L231" s="123"/>
      <c r="M231" s="123"/>
      <c r="N231" s="123"/>
      <c r="O231" s="129">
        <v>1</v>
      </c>
      <c r="P231" s="125">
        <f t="shared" si="27"/>
        <v>3</v>
      </c>
      <c r="Q231" s="129">
        <f>1+83</f>
        <v>84</v>
      </c>
      <c r="R231" s="123"/>
      <c r="S231" s="123"/>
      <c r="T231" s="123"/>
      <c r="U231" s="123"/>
      <c r="V231" s="129">
        <f>5+366</f>
        <v>371</v>
      </c>
      <c r="W231" s="129">
        <v>13</v>
      </c>
      <c r="X231" s="125">
        <f t="shared" si="29"/>
        <v>384</v>
      </c>
      <c r="Y231" s="129">
        <f>1+2+61</f>
        <v>64</v>
      </c>
      <c r="Z231" s="129">
        <v>1</v>
      </c>
      <c r="AA231" s="129">
        <v>5</v>
      </c>
      <c r="AB231" s="123"/>
      <c r="AC231" s="123"/>
      <c r="AD231" s="125">
        <f t="shared" si="26"/>
        <v>70</v>
      </c>
      <c r="AE231" s="123"/>
      <c r="AF231" s="123"/>
      <c r="AG231" s="123"/>
      <c r="AH231" s="123"/>
      <c r="AI231" s="123"/>
      <c r="AJ231" s="123"/>
      <c r="AK231" s="123"/>
      <c r="AL231" s="123"/>
      <c r="AM231" s="125">
        <f t="shared" si="28"/>
        <v>454</v>
      </c>
      <c r="AN231" s="138">
        <v>40000000</v>
      </c>
    </row>
    <row r="232" spans="1:56" x14ac:dyDescent="0.25">
      <c r="A232" s="366"/>
      <c r="B232" s="369"/>
      <c r="C232" s="122" t="s">
        <v>64</v>
      </c>
      <c r="D232" s="123"/>
      <c r="E232" s="126"/>
      <c r="F232" s="123"/>
      <c r="G232" s="123"/>
      <c r="H232" s="123"/>
      <c r="I232" s="126"/>
      <c r="J232" s="123"/>
      <c r="K232" s="123"/>
      <c r="L232" s="126"/>
      <c r="M232" s="126"/>
      <c r="N232" s="126"/>
      <c r="O232" s="126"/>
      <c r="P232" s="125">
        <f t="shared" si="27"/>
        <v>0</v>
      </c>
      <c r="Q232" s="126"/>
      <c r="R232" s="126"/>
      <c r="S232" s="126"/>
      <c r="T232" s="126"/>
      <c r="U232" s="126"/>
      <c r="V232" s="126"/>
      <c r="W232" s="126"/>
      <c r="X232" s="125">
        <f t="shared" si="29"/>
        <v>0</v>
      </c>
      <c r="Y232" s="126"/>
      <c r="Z232" s="123"/>
      <c r="AA232" s="123"/>
      <c r="AB232" s="123"/>
      <c r="AC232" s="123"/>
      <c r="AD232" s="125">
        <f t="shared" si="26"/>
        <v>0</v>
      </c>
      <c r="AE232" s="123"/>
      <c r="AF232" s="123"/>
      <c r="AG232" s="123"/>
      <c r="AH232" s="123"/>
      <c r="AI232" s="123"/>
      <c r="AJ232" s="123"/>
      <c r="AK232" s="123"/>
      <c r="AL232" s="123"/>
      <c r="AM232" s="125">
        <f t="shared" si="28"/>
        <v>0</v>
      </c>
      <c r="AN232" s="128"/>
    </row>
    <row r="233" spans="1:56" x14ac:dyDescent="0.25">
      <c r="A233" s="366"/>
      <c r="B233" s="369"/>
      <c r="C233" s="140" t="s">
        <v>65</v>
      </c>
      <c r="D233" s="123"/>
      <c r="E233" s="123"/>
      <c r="F233" s="126"/>
      <c r="G233" s="123"/>
      <c r="H233" s="126"/>
      <c r="I233" s="123"/>
      <c r="J233" s="126"/>
      <c r="K233" s="126"/>
      <c r="L233" s="126"/>
      <c r="M233" s="126"/>
      <c r="N233" s="126"/>
      <c r="O233" s="126"/>
      <c r="P233" s="125">
        <f t="shared" si="27"/>
        <v>0</v>
      </c>
      <c r="Q233" s="126"/>
      <c r="R233" s="126"/>
      <c r="S233" s="126"/>
      <c r="T233" s="126"/>
      <c r="U233" s="126"/>
      <c r="V233" s="126"/>
      <c r="W233" s="126"/>
      <c r="X233" s="125">
        <f t="shared" si="29"/>
        <v>0</v>
      </c>
      <c r="Y233" s="123"/>
      <c r="Z233" s="123"/>
      <c r="AA233" s="123"/>
      <c r="AB233" s="123"/>
      <c r="AC233" s="123"/>
      <c r="AD233" s="125">
        <f t="shared" si="26"/>
        <v>0</v>
      </c>
      <c r="AE233" s="123"/>
      <c r="AF233" s="123"/>
      <c r="AG233" s="123"/>
      <c r="AH233" s="123"/>
      <c r="AI233" s="123"/>
      <c r="AJ233" s="123"/>
      <c r="AK233" s="123"/>
      <c r="AL233" s="123"/>
      <c r="AM233" s="125">
        <f t="shared" si="28"/>
        <v>0</v>
      </c>
      <c r="AN233" s="128"/>
      <c r="AP233" s="159"/>
      <c r="AQ233" s="159"/>
      <c r="AR233" s="159"/>
      <c r="AS233" s="159"/>
      <c r="AT233" s="159"/>
      <c r="AU233" s="159"/>
      <c r="AV233" s="159"/>
      <c r="AW233" s="159"/>
      <c r="AX233" s="159"/>
      <c r="AY233" s="159"/>
      <c r="AZ233" s="159"/>
      <c r="BA233" s="159"/>
      <c r="BB233" s="159"/>
      <c r="BC233" s="159"/>
      <c r="BD233" s="160"/>
    </row>
    <row r="234" spans="1:56" s="159" customFormat="1" x14ac:dyDescent="0.25">
      <c r="A234" s="366"/>
      <c r="B234" s="369"/>
      <c r="C234" s="147" t="s">
        <v>66</v>
      </c>
      <c r="D234" s="123"/>
      <c r="E234" s="123"/>
      <c r="F234" s="126"/>
      <c r="G234" s="123"/>
      <c r="H234" s="126"/>
      <c r="I234" s="123"/>
      <c r="J234" s="126"/>
      <c r="K234" s="126"/>
      <c r="L234" s="126"/>
      <c r="M234" s="126"/>
      <c r="N234" s="126"/>
      <c r="O234" s="126"/>
      <c r="P234" s="125">
        <f t="shared" si="27"/>
        <v>0</v>
      </c>
      <c r="Q234" s="126"/>
      <c r="R234" s="126"/>
      <c r="S234" s="126"/>
      <c r="T234" s="126"/>
      <c r="U234" s="126"/>
      <c r="V234" s="126"/>
      <c r="W234" s="126"/>
      <c r="X234" s="125">
        <f t="shared" si="29"/>
        <v>0</v>
      </c>
      <c r="Y234" s="123"/>
      <c r="Z234" s="123"/>
      <c r="AA234" s="123"/>
      <c r="AB234" s="123"/>
      <c r="AC234" s="123"/>
      <c r="AD234" s="125">
        <f t="shared" si="26"/>
        <v>0</v>
      </c>
      <c r="AE234" s="123"/>
      <c r="AF234" s="123"/>
      <c r="AG234" s="123"/>
      <c r="AH234" s="123"/>
      <c r="AI234" s="123"/>
      <c r="AJ234" s="123"/>
      <c r="AK234" s="123"/>
      <c r="AL234" s="123"/>
      <c r="AM234" s="125">
        <f t="shared" si="28"/>
        <v>0</v>
      </c>
      <c r="AN234" s="128"/>
      <c r="AO234" s="161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 s="88"/>
    </row>
    <row r="235" spans="1:56" s="218" customFormat="1" x14ac:dyDescent="0.25">
      <c r="A235" s="367"/>
      <c r="B235" s="370"/>
      <c r="C235" s="221" t="s">
        <v>67</v>
      </c>
      <c r="D235" s="214"/>
      <c r="E235" s="214"/>
      <c r="F235" s="222"/>
      <c r="G235" s="214"/>
      <c r="H235" s="222"/>
      <c r="I235" s="214"/>
      <c r="J235" s="222"/>
      <c r="K235" s="222"/>
      <c r="L235" s="222"/>
      <c r="M235" s="222"/>
      <c r="N235" s="222"/>
      <c r="O235" s="222"/>
      <c r="P235" s="215">
        <f t="shared" si="27"/>
        <v>0</v>
      </c>
      <c r="Q235" s="222"/>
      <c r="R235" s="222"/>
      <c r="S235" s="222"/>
      <c r="T235" s="222"/>
      <c r="U235" s="222"/>
      <c r="V235" s="222"/>
      <c r="W235" s="222"/>
      <c r="X235" s="215">
        <f t="shared" si="29"/>
        <v>0</v>
      </c>
      <c r="Y235" s="214"/>
      <c r="Z235" s="214"/>
      <c r="AA235" s="214"/>
      <c r="AB235" s="214"/>
      <c r="AC235" s="214"/>
      <c r="AD235" s="215">
        <f t="shared" si="26"/>
        <v>0</v>
      </c>
      <c r="AE235" s="214"/>
      <c r="AF235" s="214"/>
      <c r="AG235" s="214"/>
      <c r="AH235" s="214"/>
      <c r="AI235" s="214"/>
      <c r="AJ235" s="214"/>
      <c r="AK235" s="214"/>
      <c r="AL235" s="214"/>
      <c r="AM235" s="215">
        <f t="shared" si="28"/>
        <v>0</v>
      </c>
      <c r="AN235" s="216"/>
      <c r="AO235" s="217"/>
      <c r="BD235" s="224"/>
    </row>
    <row r="236" spans="1:56" x14ac:dyDescent="0.25">
      <c r="A236" s="365">
        <v>20</v>
      </c>
      <c r="B236" s="368" t="s">
        <v>35</v>
      </c>
      <c r="C236" s="143" t="s">
        <v>56</v>
      </c>
      <c r="D236" s="176"/>
      <c r="E236" s="176"/>
      <c r="F236" s="176"/>
      <c r="G236" s="176"/>
      <c r="H236" s="207"/>
      <c r="I236" s="176"/>
      <c r="J236" s="176"/>
      <c r="K236" s="176"/>
      <c r="L236" s="176"/>
      <c r="M236" s="176"/>
      <c r="N236" s="176"/>
      <c r="O236" s="176"/>
      <c r="P236" s="209">
        <f t="shared" si="27"/>
        <v>0</v>
      </c>
      <c r="Q236" s="207"/>
      <c r="R236" s="207"/>
      <c r="S236" s="207"/>
      <c r="T236" s="207"/>
      <c r="U236" s="207"/>
      <c r="V236" s="207"/>
      <c r="W236" s="207"/>
      <c r="X236" s="209">
        <f t="shared" si="29"/>
        <v>0</v>
      </c>
      <c r="Y236" s="207"/>
      <c r="Z236" s="176"/>
      <c r="AA236" s="176"/>
      <c r="AB236" s="176"/>
      <c r="AC236" s="176"/>
      <c r="AD236" s="209">
        <f t="shared" si="26"/>
        <v>0</v>
      </c>
      <c r="AE236" s="176"/>
      <c r="AF236" s="176"/>
      <c r="AG236" s="176"/>
      <c r="AH236" s="176"/>
      <c r="AI236" s="176"/>
      <c r="AJ236" s="176"/>
      <c r="AK236" s="176"/>
      <c r="AL236" s="176"/>
      <c r="AM236" s="209">
        <f t="shared" si="28"/>
        <v>0</v>
      </c>
      <c r="AN236" s="219"/>
    </row>
    <row r="237" spans="1:56" x14ac:dyDescent="0.25">
      <c r="A237" s="366"/>
      <c r="B237" s="369"/>
      <c r="C237" s="122" t="s">
        <v>57</v>
      </c>
      <c r="D237" s="123"/>
      <c r="E237" s="123"/>
      <c r="F237" s="123"/>
      <c r="G237" s="123"/>
      <c r="H237" s="126"/>
      <c r="I237" s="123"/>
      <c r="J237" s="123"/>
      <c r="K237" s="126"/>
      <c r="L237" s="123"/>
      <c r="M237" s="123"/>
      <c r="N237" s="123"/>
      <c r="O237" s="123"/>
      <c r="P237" s="125">
        <f t="shared" si="27"/>
        <v>0</v>
      </c>
      <c r="Q237" s="126"/>
      <c r="R237" s="126"/>
      <c r="S237" s="126"/>
      <c r="T237" s="126"/>
      <c r="U237" s="126"/>
      <c r="V237" s="126"/>
      <c r="W237" s="126"/>
      <c r="X237" s="125">
        <f t="shared" si="29"/>
        <v>0</v>
      </c>
      <c r="Y237" s="123"/>
      <c r="Z237" s="123"/>
      <c r="AA237" s="123"/>
      <c r="AB237" s="123"/>
      <c r="AC237" s="123"/>
      <c r="AD237" s="125">
        <f t="shared" si="26"/>
        <v>0</v>
      </c>
      <c r="AE237" s="123"/>
      <c r="AF237" s="123">
        <v>0</v>
      </c>
      <c r="AG237" s="123"/>
      <c r="AH237" s="126"/>
      <c r="AI237" s="123"/>
      <c r="AJ237" s="123"/>
      <c r="AK237" s="123"/>
      <c r="AL237" s="123"/>
      <c r="AM237" s="125">
        <f t="shared" si="28"/>
        <v>0</v>
      </c>
      <c r="AN237" s="128"/>
    </row>
    <row r="238" spans="1:56" x14ac:dyDescent="0.25">
      <c r="A238" s="366"/>
      <c r="B238" s="369"/>
      <c r="C238" s="122" t="s">
        <v>58</v>
      </c>
      <c r="D238" s="129">
        <v>2</v>
      </c>
      <c r="E238" s="129">
        <v>4</v>
      </c>
      <c r="F238" s="129">
        <v>4</v>
      </c>
      <c r="G238" s="129">
        <v>2</v>
      </c>
      <c r="H238" s="129">
        <v>1</v>
      </c>
      <c r="I238" s="123"/>
      <c r="J238" s="123"/>
      <c r="K238" s="123"/>
      <c r="L238" s="123"/>
      <c r="M238" s="123"/>
      <c r="N238" s="123"/>
      <c r="O238" s="123"/>
      <c r="P238" s="125">
        <f t="shared" si="27"/>
        <v>13</v>
      </c>
      <c r="Q238" s="129">
        <v>58</v>
      </c>
      <c r="R238" s="123"/>
      <c r="S238" s="123"/>
      <c r="T238" s="123"/>
      <c r="U238" s="123"/>
      <c r="V238" s="123"/>
      <c r="W238" s="123"/>
      <c r="X238" s="125">
        <f t="shared" si="29"/>
        <v>0</v>
      </c>
      <c r="Y238" s="129">
        <f>6+1</f>
        <v>7</v>
      </c>
      <c r="Z238" s="129">
        <v>1</v>
      </c>
      <c r="AA238" s="123"/>
      <c r="AB238" s="123"/>
      <c r="AC238" s="123"/>
      <c r="AD238" s="125">
        <f t="shared" si="26"/>
        <v>8</v>
      </c>
      <c r="AE238" s="129">
        <f>1+2+1+1</f>
        <v>5</v>
      </c>
      <c r="AF238" s="123"/>
      <c r="AG238" s="123"/>
      <c r="AH238" s="123"/>
      <c r="AI238" s="123"/>
      <c r="AJ238" s="123"/>
      <c r="AK238" s="123"/>
      <c r="AL238" s="123"/>
      <c r="AM238" s="125">
        <f t="shared" si="28"/>
        <v>8</v>
      </c>
      <c r="AN238" s="138">
        <v>1425000000</v>
      </c>
    </row>
    <row r="239" spans="1:56" x14ac:dyDescent="0.25">
      <c r="A239" s="366"/>
      <c r="B239" s="369"/>
      <c r="C239" s="122" t="s">
        <v>59</v>
      </c>
      <c r="D239" s="126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5">
        <f t="shared" si="27"/>
        <v>0</v>
      </c>
      <c r="Q239" s="126"/>
      <c r="R239" s="126"/>
      <c r="S239" s="126"/>
      <c r="T239" s="126"/>
      <c r="U239" s="126"/>
      <c r="V239" s="126"/>
      <c r="W239" s="126"/>
      <c r="X239" s="125">
        <f t="shared" si="29"/>
        <v>0</v>
      </c>
      <c r="Y239" s="126"/>
      <c r="Z239" s="123"/>
      <c r="AA239" s="123"/>
      <c r="AB239" s="123"/>
      <c r="AC239" s="123"/>
      <c r="AD239" s="125">
        <f t="shared" ref="AD239:AD283" si="30">SUM(Y239:AC239)</f>
        <v>0</v>
      </c>
      <c r="AE239" s="123"/>
      <c r="AF239" s="123"/>
      <c r="AG239" s="123"/>
      <c r="AH239" s="126"/>
      <c r="AI239" s="123"/>
      <c r="AJ239" s="123"/>
      <c r="AK239" s="123"/>
      <c r="AL239" s="123"/>
      <c r="AM239" s="125">
        <f t="shared" si="28"/>
        <v>0</v>
      </c>
      <c r="AN239" s="128"/>
    </row>
    <row r="240" spans="1:56" x14ac:dyDescent="0.25">
      <c r="A240" s="366"/>
      <c r="B240" s="369"/>
      <c r="C240" s="122" t="s">
        <v>60</v>
      </c>
      <c r="D240" s="123"/>
      <c r="E240" s="126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5">
        <f t="shared" si="27"/>
        <v>0</v>
      </c>
      <c r="Q240" s="126"/>
      <c r="R240" s="126"/>
      <c r="S240" s="126"/>
      <c r="T240" s="126"/>
      <c r="U240" s="126"/>
      <c r="V240" s="126"/>
      <c r="W240" s="126"/>
      <c r="X240" s="125">
        <f t="shared" si="29"/>
        <v>0</v>
      </c>
      <c r="Y240" s="123"/>
      <c r="Z240" s="123"/>
      <c r="AA240" s="123"/>
      <c r="AB240" s="123"/>
      <c r="AC240" s="123"/>
      <c r="AD240" s="125">
        <f t="shared" si="30"/>
        <v>0</v>
      </c>
      <c r="AE240" s="123"/>
      <c r="AF240" s="123"/>
      <c r="AG240" s="123"/>
      <c r="AH240" s="123"/>
      <c r="AI240" s="123"/>
      <c r="AJ240" s="123"/>
      <c r="AK240" s="123"/>
      <c r="AL240" s="123"/>
      <c r="AM240" s="125">
        <f t="shared" si="28"/>
        <v>0</v>
      </c>
      <c r="AN240" s="128"/>
    </row>
    <row r="241" spans="1:56" x14ac:dyDescent="0.25">
      <c r="A241" s="366"/>
      <c r="B241" s="369"/>
      <c r="C241" s="122" t="s">
        <v>61</v>
      </c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5">
        <f t="shared" si="27"/>
        <v>0</v>
      </c>
      <c r="Q241" s="126"/>
      <c r="R241" s="126"/>
      <c r="S241" s="126"/>
      <c r="T241" s="126"/>
      <c r="U241" s="126"/>
      <c r="V241" s="126"/>
      <c r="W241" s="126"/>
      <c r="X241" s="125">
        <f t="shared" si="29"/>
        <v>0</v>
      </c>
      <c r="Y241" s="126"/>
      <c r="Z241" s="123"/>
      <c r="AA241" s="123"/>
      <c r="AB241" s="123"/>
      <c r="AC241" s="123"/>
      <c r="AD241" s="125">
        <f t="shared" si="30"/>
        <v>0</v>
      </c>
      <c r="AE241" s="123"/>
      <c r="AF241" s="123"/>
      <c r="AG241" s="123"/>
      <c r="AH241" s="126"/>
      <c r="AI241" s="123"/>
      <c r="AJ241" s="123"/>
      <c r="AK241" s="123"/>
      <c r="AL241" s="123"/>
      <c r="AM241" s="125">
        <f t="shared" si="28"/>
        <v>0</v>
      </c>
      <c r="AN241" s="128"/>
    </row>
    <row r="242" spans="1:56" x14ac:dyDescent="0.25">
      <c r="A242" s="366"/>
      <c r="B242" s="369"/>
      <c r="C242" s="122" t="s">
        <v>62</v>
      </c>
      <c r="D242" s="129">
        <v>1</v>
      </c>
      <c r="E242" s="129">
        <v>2</v>
      </c>
      <c r="F242" s="123"/>
      <c r="G242" s="123"/>
      <c r="H242" s="123"/>
      <c r="I242" s="129">
        <v>2</v>
      </c>
      <c r="J242" s="123"/>
      <c r="K242" s="129">
        <v>1</v>
      </c>
      <c r="L242" s="129">
        <v>1</v>
      </c>
      <c r="M242" s="123"/>
      <c r="N242" s="123"/>
      <c r="O242" s="129">
        <v>1</v>
      </c>
      <c r="P242" s="125">
        <f t="shared" si="27"/>
        <v>8</v>
      </c>
      <c r="Q242" s="129">
        <f>3+1+1</f>
        <v>5</v>
      </c>
      <c r="R242" s="123"/>
      <c r="S242" s="123"/>
      <c r="T242" s="123"/>
      <c r="U242" s="123"/>
      <c r="V242" s="123"/>
      <c r="W242" s="123"/>
      <c r="X242" s="125">
        <f t="shared" si="29"/>
        <v>0</v>
      </c>
      <c r="Y242" s="129">
        <f>1+2+3+1+1+1</f>
        <v>9</v>
      </c>
      <c r="Z242" s="123"/>
      <c r="AA242" s="123"/>
      <c r="AB242" s="123"/>
      <c r="AC242" s="123"/>
      <c r="AD242" s="125">
        <f t="shared" si="30"/>
        <v>9</v>
      </c>
      <c r="AE242" s="123"/>
      <c r="AF242" s="129">
        <v>1</v>
      </c>
      <c r="AG242" s="123"/>
      <c r="AH242" s="123"/>
      <c r="AI242" s="123"/>
      <c r="AJ242" s="123"/>
      <c r="AK242" s="123"/>
      <c r="AL242" s="123"/>
      <c r="AM242" s="125">
        <f t="shared" si="28"/>
        <v>9</v>
      </c>
      <c r="AN242" s="138">
        <f>150000000+250000000+50000000+250000000</f>
        <v>700000000</v>
      </c>
    </row>
    <row r="243" spans="1:56" x14ac:dyDescent="0.25">
      <c r="A243" s="366"/>
      <c r="B243" s="369"/>
      <c r="C243" s="122" t="s">
        <v>63</v>
      </c>
      <c r="D243" s="123"/>
      <c r="E243" s="126"/>
      <c r="F243" s="126"/>
      <c r="G243" s="126"/>
      <c r="H243" s="123"/>
      <c r="I243" s="123"/>
      <c r="J243" s="123"/>
      <c r="K243" s="123"/>
      <c r="L243" s="126"/>
      <c r="M243" s="126"/>
      <c r="N243" s="126"/>
      <c r="O243" s="155">
        <v>3</v>
      </c>
      <c r="P243" s="125">
        <f t="shared" si="27"/>
        <v>3</v>
      </c>
      <c r="Q243" s="126"/>
      <c r="R243" s="126"/>
      <c r="S243" s="126"/>
      <c r="T243" s="126"/>
      <c r="U243" s="126"/>
      <c r="V243" s="126"/>
      <c r="W243" s="126"/>
      <c r="X243" s="125">
        <f t="shared" si="29"/>
        <v>0</v>
      </c>
      <c r="Y243" s="155">
        <v>3</v>
      </c>
      <c r="Z243" s="123"/>
      <c r="AA243" s="123"/>
      <c r="AB243" s="123"/>
      <c r="AC243" s="123"/>
      <c r="AD243" s="125">
        <f t="shared" si="30"/>
        <v>3</v>
      </c>
      <c r="AE243" s="123"/>
      <c r="AF243" s="123"/>
      <c r="AG243" s="123"/>
      <c r="AH243" s="123"/>
      <c r="AI243" s="123"/>
      <c r="AJ243" s="123"/>
      <c r="AK243" s="123"/>
      <c r="AL243" s="123"/>
      <c r="AM243" s="125">
        <f t="shared" si="28"/>
        <v>3</v>
      </c>
      <c r="AN243" s="138">
        <v>500000</v>
      </c>
    </row>
    <row r="244" spans="1:56" x14ac:dyDescent="0.25">
      <c r="A244" s="366"/>
      <c r="B244" s="369"/>
      <c r="C244" s="122" t="s">
        <v>64</v>
      </c>
      <c r="D244" s="123"/>
      <c r="E244" s="126"/>
      <c r="F244" s="126"/>
      <c r="G244" s="126"/>
      <c r="H244" s="123"/>
      <c r="I244" s="123"/>
      <c r="J244" s="126"/>
      <c r="K244" s="126"/>
      <c r="L244" s="126"/>
      <c r="M244" s="126"/>
      <c r="N244" s="129">
        <v>1</v>
      </c>
      <c r="O244" s="126"/>
      <c r="P244" s="125">
        <f t="shared" si="27"/>
        <v>1</v>
      </c>
      <c r="Q244" s="126"/>
      <c r="R244" s="126"/>
      <c r="S244" s="126"/>
      <c r="T244" s="126"/>
      <c r="U244" s="126"/>
      <c r="V244" s="126"/>
      <c r="W244" s="126"/>
      <c r="X244" s="125">
        <f t="shared" si="29"/>
        <v>0</v>
      </c>
      <c r="Y244" s="129">
        <v>5</v>
      </c>
      <c r="Z244" s="123"/>
      <c r="AA244" s="123"/>
      <c r="AB244" s="123"/>
      <c r="AC244" s="123"/>
      <c r="AD244" s="125">
        <f t="shared" si="30"/>
        <v>5</v>
      </c>
      <c r="AE244" s="123"/>
      <c r="AF244" s="123"/>
      <c r="AG244" s="123"/>
      <c r="AH244" s="123"/>
      <c r="AI244" s="123"/>
      <c r="AJ244" s="123"/>
      <c r="AK244" s="123"/>
      <c r="AL244" s="123"/>
      <c r="AM244" s="125">
        <f t="shared" si="28"/>
        <v>5</v>
      </c>
      <c r="AN244" s="138">
        <v>200000000</v>
      </c>
    </row>
    <row r="245" spans="1:56" x14ac:dyDescent="0.25">
      <c r="A245" s="366"/>
      <c r="B245" s="369"/>
      <c r="C245" s="140" t="s">
        <v>65</v>
      </c>
      <c r="D245" s="123"/>
      <c r="E245" s="123"/>
      <c r="F245" s="126"/>
      <c r="G245" s="123"/>
      <c r="H245" s="123"/>
      <c r="I245" s="123"/>
      <c r="J245" s="123"/>
      <c r="K245" s="123"/>
      <c r="L245" s="126"/>
      <c r="M245" s="126"/>
      <c r="N245" s="126"/>
      <c r="O245" s="126"/>
      <c r="P245" s="125">
        <f t="shared" si="27"/>
        <v>0</v>
      </c>
      <c r="Q245" s="126"/>
      <c r="R245" s="126"/>
      <c r="S245" s="126"/>
      <c r="T245" s="126"/>
      <c r="U245" s="126"/>
      <c r="V245" s="126"/>
      <c r="W245" s="126"/>
      <c r="X245" s="125">
        <f t="shared" si="29"/>
        <v>0</v>
      </c>
      <c r="Y245" s="123"/>
      <c r="Z245" s="123"/>
      <c r="AA245" s="123"/>
      <c r="AB245" s="123"/>
      <c r="AC245" s="123"/>
      <c r="AD245" s="125">
        <f t="shared" si="30"/>
        <v>0</v>
      </c>
      <c r="AE245" s="123"/>
      <c r="AF245" s="123"/>
      <c r="AG245" s="123"/>
      <c r="AH245" s="166"/>
      <c r="AI245" s="123"/>
      <c r="AJ245" s="123"/>
      <c r="AK245" s="123"/>
      <c r="AL245" s="123"/>
      <c r="AM245" s="125">
        <f t="shared" si="28"/>
        <v>0</v>
      </c>
      <c r="AN245" s="128"/>
      <c r="AP245" s="167"/>
    </row>
    <row r="246" spans="1:56" x14ac:dyDescent="0.25">
      <c r="A246" s="366"/>
      <c r="B246" s="369"/>
      <c r="C246" s="147" t="s">
        <v>66</v>
      </c>
      <c r="D246" s="123"/>
      <c r="E246" s="123"/>
      <c r="F246" s="126"/>
      <c r="G246" s="123"/>
      <c r="H246" s="123"/>
      <c r="I246" s="123"/>
      <c r="J246" s="123"/>
      <c r="K246" s="123"/>
      <c r="L246" s="126"/>
      <c r="M246" s="126"/>
      <c r="N246" s="126"/>
      <c r="O246" s="126"/>
      <c r="P246" s="125">
        <f t="shared" si="27"/>
        <v>0</v>
      </c>
      <c r="Q246" s="126"/>
      <c r="R246" s="126"/>
      <c r="S246" s="126"/>
      <c r="T246" s="126"/>
      <c r="U246" s="126"/>
      <c r="V246" s="126"/>
      <c r="W246" s="126"/>
      <c r="X246" s="125">
        <f t="shared" si="29"/>
        <v>0</v>
      </c>
      <c r="Y246" s="123"/>
      <c r="Z246" s="123"/>
      <c r="AA246" s="123"/>
      <c r="AB246" s="123"/>
      <c r="AC246" s="123"/>
      <c r="AD246" s="125">
        <f t="shared" si="30"/>
        <v>0</v>
      </c>
      <c r="AE246" s="123"/>
      <c r="AF246" s="123"/>
      <c r="AG246" s="123"/>
      <c r="AH246" s="166"/>
      <c r="AI246" s="123"/>
      <c r="AJ246" s="123"/>
      <c r="AK246" s="123"/>
      <c r="AL246" s="123"/>
      <c r="AM246" s="125">
        <f t="shared" si="28"/>
        <v>0</v>
      </c>
      <c r="AN246" s="128"/>
    </row>
    <row r="247" spans="1:56" s="218" customFormat="1" x14ac:dyDescent="0.25">
      <c r="A247" s="367"/>
      <c r="B247" s="370"/>
      <c r="C247" s="221" t="s">
        <v>67</v>
      </c>
      <c r="D247" s="214"/>
      <c r="E247" s="214"/>
      <c r="F247" s="222"/>
      <c r="G247" s="214"/>
      <c r="H247" s="214"/>
      <c r="I247" s="214"/>
      <c r="J247" s="214"/>
      <c r="K247" s="214"/>
      <c r="L247" s="222"/>
      <c r="M247" s="222"/>
      <c r="N247" s="222"/>
      <c r="O247" s="222"/>
      <c r="P247" s="215">
        <f t="shared" si="27"/>
        <v>0</v>
      </c>
      <c r="Q247" s="222"/>
      <c r="R247" s="222"/>
      <c r="S247" s="222"/>
      <c r="T247" s="222"/>
      <c r="U247" s="222"/>
      <c r="V247" s="222"/>
      <c r="W247" s="222"/>
      <c r="X247" s="215">
        <f t="shared" si="29"/>
        <v>0</v>
      </c>
      <c r="Y247" s="214"/>
      <c r="Z247" s="214"/>
      <c r="AA247" s="214"/>
      <c r="AB247" s="214"/>
      <c r="AC247" s="214"/>
      <c r="AD247" s="215">
        <f t="shared" si="30"/>
        <v>0</v>
      </c>
      <c r="AE247" s="214"/>
      <c r="AF247" s="214"/>
      <c r="AG247" s="214"/>
      <c r="AH247" s="238"/>
      <c r="AI247" s="214"/>
      <c r="AJ247" s="214"/>
      <c r="AK247" s="214"/>
      <c r="AL247" s="214"/>
      <c r="AM247" s="215">
        <f t="shared" si="28"/>
        <v>0</v>
      </c>
      <c r="AN247" s="216"/>
      <c r="AO247" s="217"/>
      <c r="AQ247" s="239"/>
      <c r="AR247" s="239"/>
      <c r="AS247" s="240"/>
      <c r="BD247" s="224"/>
    </row>
    <row r="248" spans="1:56" ht="14.25" customHeight="1" x14ac:dyDescent="0.25">
      <c r="A248" s="365">
        <v>21</v>
      </c>
      <c r="B248" s="365" t="s">
        <v>39</v>
      </c>
      <c r="C248" s="143" t="s">
        <v>56</v>
      </c>
      <c r="D248" s="176"/>
      <c r="E248" s="176"/>
      <c r="F248" s="176"/>
      <c r="G248" s="208">
        <v>1</v>
      </c>
      <c r="H248" s="208">
        <v>1</v>
      </c>
      <c r="I248" s="176"/>
      <c r="J248" s="176"/>
      <c r="K248" s="176"/>
      <c r="L248" s="176"/>
      <c r="M248" s="176"/>
      <c r="N248" s="176"/>
      <c r="O248" s="176"/>
      <c r="P248" s="209">
        <f t="shared" si="27"/>
        <v>2</v>
      </c>
      <c r="Q248" s="207"/>
      <c r="R248" s="207"/>
      <c r="S248" s="207"/>
      <c r="T248" s="207"/>
      <c r="U248" s="207"/>
      <c r="V248" s="207"/>
      <c r="W248" s="207"/>
      <c r="X248" s="209">
        <f t="shared" si="29"/>
        <v>0</v>
      </c>
      <c r="Y248" s="208">
        <v>15</v>
      </c>
      <c r="Z248" s="208">
        <v>1</v>
      </c>
      <c r="AA248" s="176"/>
      <c r="AB248" s="176"/>
      <c r="AC248" s="176"/>
      <c r="AD248" s="209">
        <f t="shared" si="30"/>
        <v>16</v>
      </c>
      <c r="AE248" s="176"/>
      <c r="AF248" s="176"/>
      <c r="AG248" s="176"/>
      <c r="AH248" s="237"/>
      <c r="AI248" s="176"/>
      <c r="AJ248" s="176"/>
      <c r="AK248" s="176"/>
      <c r="AL248" s="176"/>
      <c r="AM248" s="209">
        <f t="shared" si="28"/>
        <v>16</v>
      </c>
      <c r="AN248" s="219"/>
      <c r="AO248" s="168"/>
    </row>
    <row r="249" spans="1:56" x14ac:dyDescent="0.25">
      <c r="A249" s="366"/>
      <c r="B249" s="366"/>
      <c r="C249" s="122" t="s">
        <v>57</v>
      </c>
      <c r="D249" s="123"/>
      <c r="E249" s="123"/>
      <c r="F249" s="123"/>
      <c r="G249" s="123"/>
      <c r="H249" s="126"/>
      <c r="I249" s="123"/>
      <c r="J249" s="123"/>
      <c r="K249" s="123"/>
      <c r="L249" s="123"/>
      <c r="M249" s="123"/>
      <c r="N249" s="123"/>
      <c r="O249" s="123"/>
      <c r="P249" s="125">
        <f t="shared" si="27"/>
        <v>0</v>
      </c>
      <c r="Q249" s="126"/>
      <c r="R249" s="126"/>
      <c r="S249" s="126"/>
      <c r="T249" s="126"/>
      <c r="U249" s="126"/>
      <c r="V249" s="126"/>
      <c r="W249" s="126"/>
      <c r="X249" s="125">
        <f t="shared" si="29"/>
        <v>0</v>
      </c>
      <c r="Y249" s="123"/>
      <c r="Z249" s="123"/>
      <c r="AA249" s="123"/>
      <c r="AB249" s="123"/>
      <c r="AC249" s="123"/>
      <c r="AD249" s="125">
        <f t="shared" si="30"/>
        <v>0</v>
      </c>
      <c r="AE249" s="123"/>
      <c r="AF249" s="123">
        <v>0</v>
      </c>
      <c r="AG249" s="123"/>
      <c r="AH249" s="166"/>
      <c r="AI249" s="123"/>
      <c r="AJ249" s="123"/>
      <c r="AK249" s="123"/>
      <c r="AL249" s="123"/>
      <c r="AM249" s="125">
        <f t="shared" si="28"/>
        <v>0</v>
      </c>
      <c r="AN249" s="128"/>
    </row>
    <row r="250" spans="1:56" x14ac:dyDescent="0.25">
      <c r="A250" s="366"/>
      <c r="B250" s="366"/>
      <c r="C250" s="122" t="s">
        <v>58</v>
      </c>
      <c r="D250" s="126"/>
      <c r="E250" s="126"/>
      <c r="F250" s="123"/>
      <c r="G250" s="129">
        <v>2</v>
      </c>
      <c r="H250" s="123"/>
      <c r="I250" s="123"/>
      <c r="J250" s="126"/>
      <c r="K250" s="126"/>
      <c r="L250" s="126"/>
      <c r="M250" s="126"/>
      <c r="N250" s="126"/>
      <c r="O250" s="126"/>
      <c r="P250" s="125">
        <f t="shared" si="27"/>
        <v>2</v>
      </c>
      <c r="Q250" s="129">
        <v>5</v>
      </c>
      <c r="R250" s="126"/>
      <c r="S250" s="126"/>
      <c r="T250" s="126"/>
      <c r="U250" s="126"/>
      <c r="V250" s="129">
        <v>10</v>
      </c>
      <c r="W250" s="126"/>
      <c r="X250" s="125">
        <f t="shared" si="29"/>
        <v>10</v>
      </c>
      <c r="Y250" s="129">
        <v>2</v>
      </c>
      <c r="Z250" s="123"/>
      <c r="AA250" s="123"/>
      <c r="AB250" s="123"/>
      <c r="AC250" s="123"/>
      <c r="AD250" s="125">
        <f t="shared" si="30"/>
        <v>2</v>
      </c>
      <c r="AE250" s="123"/>
      <c r="AF250" s="123"/>
      <c r="AG250" s="123"/>
      <c r="AH250" s="166"/>
      <c r="AI250" s="123"/>
      <c r="AJ250" s="123"/>
      <c r="AK250" s="123"/>
      <c r="AL250" s="123"/>
      <c r="AM250" s="125">
        <f t="shared" si="28"/>
        <v>12</v>
      </c>
      <c r="AN250" s="138">
        <v>300000000</v>
      </c>
    </row>
    <row r="251" spans="1:56" x14ac:dyDescent="0.25">
      <c r="A251" s="366"/>
      <c r="B251" s="366"/>
      <c r="C251" s="122" t="s">
        <v>59</v>
      </c>
      <c r="D251" s="123"/>
      <c r="E251" s="126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5">
        <f t="shared" si="27"/>
        <v>0</v>
      </c>
      <c r="Q251" s="126"/>
      <c r="R251" s="126"/>
      <c r="S251" s="126"/>
      <c r="T251" s="126"/>
      <c r="U251" s="126"/>
      <c r="V251" s="126"/>
      <c r="W251" s="126"/>
      <c r="X251" s="125">
        <f t="shared" si="29"/>
        <v>0</v>
      </c>
      <c r="Y251" s="123"/>
      <c r="Z251" s="123"/>
      <c r="AA251" s="123"/>
      <c r="AB251" s="123"/>
      <c r="AC251" s="123"/>
      <c r="AD251" s="125">
        <f t="shared" si="30"/>
        <v>0</v>
      </c>
      <c r="AE251" s="123"/>
      <c r="AF251" s="123"/>
      <c r="AG251" s="123"/>
      <c r="AH251" s="126"/>
      <c r="AI251" s="123"/>
      <c r="AJ251" s="123"/>
      <c r="AK251" s="123"/>
      <c r="AL251" s="123"/>
      <c r="AM251" s="125">
        <f t="shared" si="28"/>
        <v>0</v>
      </c>
      <c r="AN251" s="128"/>
    </row>
    <row r="252" spans="1:56" x14ac:dyDescent="0.25">
      <c r="A252" s="366"/>
      <c r="B252" s="366"/>
      <c r="C252" s="122" t="s">
        <v>60</v>
      </c>
      <c r="D252" s="123"/>
      <c r="E252" s="126"/>
      <c r="F252" s="123"/>
      <c r="G252" s="123"/>
      <c r="H252" s="123"/>
      <c r="I252" s="123"/>
      <c r="J252" s="126"/>
      <c r="K252" s="126"/>
      <c r="L252" s="126"/>
      <c r="M252" s="126"/>
      <c r="N252" s="126"/>
      <c r="O252" s="126"/>
      <c r="P252" s="125">
        <f t="shared" si="27"/>
        <v>0</v>
      </c>
      <c r="Q252" s="126"/>
      <c r="R252" s="126"/>
      <c r="S252" s="126"/>
      <c r="T252" s="126"/>
      <c r="U252" s="126"/>
      <c r="V252" s="126"/>
      <c r="W252" s="126"/>
      <c r="X252" s="125">
        <f t="shared" si="29"/>
        <v>0</v>
      </c>
      <c r="Y252" s="126"/>
      <c r="Z252" s="123"/>
      <c r="AA252" s="123"/>
      <c r="AB252" s="123"/>
      <c r="AC252" s="123"/>
      <c r="AD252" s="125">
        <f t="shared" si="30"/>
        <v>0</v>
      </c>
      <c r="AE252" s="123"/>
      <c r="AF252" s="123"/>
      <c r="AG252" s="123"/>
      <c r="AH252" s="123"/>
      <c r="AI252" s="123"/>
      <c r="AJ252" s="123"/>
      <c r="AK252" s="123"/>
      <c r="AL252" s="123"/>
      <c r="AM252" s="125">
        <f t="shared" si="28"/>
        <v>0</v>
      </c>
      <c r="AN252" s="128"/>
    </row>
    <row r="253" spans="1:56" x14ac:dyDescent="0.25">
      <c r="A253" s="366"/>
      <c r="B253" s="366"/>
      <c r="C253" s="122" t="s">
        <v>61</v>
      </c>
      <c r="D253" s="129">
        <v>1</v>
      </c>
      <c r="E253" s="123"/>
      <c r="F253" s="123"/>
      <c r="G253" s="123"/>
      <c r="H253" s="123"/>
      <c r="I253" s="123"/>
      <c r="J253" s="129">
        <v>1</v>
      </c>
      <c r="K253" s="123"/>
      <c r="L253" s="123"/>
      <c r="M253" s="123"/>
      <c r="N253" s="129">
        <v>1</v>
      </c>
      <c r="O253" s="123"/>
      <c r="P253" s="125">
        <f t="shared" si="27"/>
        <v>3</v>
      </c>
      <c r="Q253" s="123"/>
      <c r="R253" s="123"/>
      <c r="S253" s="123"/>
      <c r="T253" s="123"/>
      <c r="U253" s="123"/>
      <c r="V253" s="123"/>
      <c r="W253" s="123"/>
      <c r="X253" s="125">
        <f t="shared" si="29"/>
        <v>0</v>
      </c>
      <c r="Y253" s="123"/>
      <c r="Z253" s="123"/>
      <c r="AA253" s="123"/>
      <c r="AB253" s="123"/>
      <c r="AC253" s="123"/>
      <c r="AD253" s="125">
        <f t="shared" si="30"/>
        <v>0</v>
      </c>
      <c r="AE253" s="123"/>
      <c r="AF253" s="123"/>
      <c r="AG253" s="123"/>
      <c r="AH253" s="123"/>
      <c r="AI253" s="123"/>
      <c r="AJ253" s="123"/>
      <c r="AK253" s="123"/>
      <c r="AL253" s="123"/>
      <c r="AM253" s="125">
        <f t="shared" si="28"/>
        <v>0</v>
      </c>
      <c r="AN253" s="128"/>
    </row>
    <row r="254" spans="1:56" x14ac:dyDescent="0.25">
      <c r="A254" s="366"/>
      <c r="B254" s="366"/>
      <c r="C254" s="122" t="s">
        <v>62</v>
      </c>
      <c r="D254" s="123"/>
      <c r="E254" s="129">
        <v>1</v>
      </c>
      <c r="F254" s="126"/>
      <c r="G254" s="126"/>
      <c r="H254" s="123"/>
      <c r="I254" s="126"/>
      <c r="J254" s="129">
        <v>2</v>
      </c>
      <c r="K254" s="129">
        <v>2</v>
      </c>
      <c r="L254" s="129">
        <v>2</v>
      </c>
      <c r="M254" s="129">
        <v>2</v>
      </c>
      <c r="N254" s="123"/>
      <c r="O254" s="129">
        <v>1</v>
      </c>
      <c r="P254" s="125">
        <f t="shared" si="27"/>
        <v>10</v>
      </c>
      <c r="Q254" s="129">
        <f>1+6+2+2+2+1</f>
        <v>14</v>
      </c>
      <c r="R254" s="126"/>
      <c r="S254" s="129">
        <v>1</v>
      </c>
      <c r="T254" s="126"/>
      <c r="U254" s="126"/>
      <c r="V254" s="129">
        <f>3+21+2+8+6</f>
        <v>40</v>
      </c>
      <c r="W254" s="126"/>
      <c r="X254" s="125">
        <f t="shared" si="29"/>
        <v>41</v>
      </c>
      <c r="Y254" s="129">
        <f>1+6+2+3+2+1</f>
        <v>15</v>
      </c>
      <c r="Z254" s="123"/>
      <c r="AA254" s="123"/>
      <c r="AB254" s="123"/>
      <c r="AC254" s="123"/>
      <c r="AD254" s="125">
        <f t="shared" si="30"/>
        <v>15</v>
      </c>
      <c r="AE254" s="123"/>
      <c r="AF254" s="123"/>
      <c r="AG254" s="123"/>
      <c r="AH254" s="123"/>
      <c r="AI254" s="123"/>
      <c r="AJ254" s="123"/>
      <c r="AK254" s="123"/>
      <c r="AL254" s="123"/>
      <c r="AM254" s="125">
        <f t="shared" si="28"/>
        <v>56</v>
      </c>
      <c r="AN254" s="138">
        <f>10000000+265000000+315000000+40000000+83000000</f>
        <v>713000000</v>
      </c>
    </row>
    <row r="255" spans="1:56" x14ac:dyDescent="0.25">
      <c r="A255" s="366"/>
      <c r="B255" s="366"/>
      <c r="C255" s="122" t="s">
        <v>63</v>
      </c>
      <c r="D255" s="129">
        <v>1</v>
      </c>
      <c r="E255" s="123"/>
      <c r="F255" s="123"/>
      <c r="G255" s="123"/>
      <c r="H255" s="123"/>
      <c r="I255" s="123"/>
      <c r="J255" s="123"/>
      <c r="K255" s="123"/>
      <c r="L255" s="123"/>
      <c r="M255" s="123"/>
      <c r="N255" s="129">
        <v>1</v>
      </c>
      <c r="O255" s="123"/>
      <c r="P255" s="125">
        <f t="shared" si="27"/>
        <v>2</v>
      </c>
      <c r="Q255" s="129">
        <f>2+6</f>
        <v>8</v>
      </c>
      <c r="R255" s="123"/>
      <c r="S255" s="123"/>
      <c r="T255" s="123"/>
      <c r="U255" s="123"/>
      <c r="V255" s="129">
        <f>8+17</f>
        <v>25</v>
      </c>
      <c r="W255" s="123"/>
      <c r="X255" s="125">
        <f t="shared" si="29"/>
        <v>25</v>
      </c>
      <c r="Y255" s="129">
        <f>2+6</f>
        <v>8</v>
      </c>
      <c r="Z255" s="123"/>
      <c r="AA255" s="129">
        <v>1</v>
      </c>
      <c r="AB255" s="123"/>
      <c r="AC255" s="123"/>
      <c r="AD255" s="125">
        <f t="shared" si="30"/>
        <v>9</v>
      </c>
      <c r="AE255" s="123"/>
      <c r="AF255" s="123"/>
      <c r="AG255" s="123"/>
      <c r="AH255" s="123"/>
      <c r="AI255" s="123"/>
      <c r="AJ255" s="123"/>
      <c r="AK255" s="123"/>
      <c r="AL255" s="123"/>
      <c r="AM255" s="125">
        <f t="shared" si="28"/>
        <v>34</v>
      </c>
      <c r="AN255" s="138">
        <f>90000000+30000000</f>
        <v>120000000</v>
      </c>
    </row>
    <row r="256" spans="1:56" x14ac:dyDescent="0.25">
      <c r="A256" s="366"/>
      <c r="B256" s="366"/>
      <c r="C256" s="122" t="s">
        <v>64</v>
      </c>
      <c r="D256" s="123"/>
      <c r="E256" s="123"/>
      <c r="F256" s="123"/>
      <c r="G256" s="126"/>
      <c r="H256" s="123"/>
      <c r="I256" s="123"/>
      <c r="J256" s="123"/>
      <c r="K256" s="123"/>
      <c r="L256" s="123"/>
      <c r="M256" s="123"/>
      <c r="N256" s="123"/>
      <c r="O256" s="123"/>
      <c r="P256" s="125">
        <f t="shared" si="27"/>
        <v>0</v>
      </c>
      <c r="Q256" s="126"/>
      <c r="R256" s="126"/>
      <c r="S256" s="126"/>
      <c r="T256" s="126"/>
      <c r="U256" s="126"/>
      <c r="V256" s="126"/>
      <c r="W256" s="126"/>
      <c r="X256" s="125">
        <f t="shared" si="29"/>
        <v>0</v>
      </c>
      <c r="Y256" s="126"/>
      <c r="Z256" s="123"/>
      <c r="AA256" s="123"/>
      <c r="AB256" s="123"/>
      <c r="AC256" s="123"/>
      <c r="AD256" s="125">
        <f t="shared" si="30"/>
        <v>0</v>
      </c>
      <c r="AE256" s="123"/>
      <c r="AF256" s="123"/>
      <c r="AG256" s="123"/>
      <c r="AH256" s="123"/>
      <c r="AI256" s="123"/>
      <c r="AJ256" s="123"/>
      <c r="AK256" s="123"/>
      <c r="AL256" s="123"/>
      <c r="AM256" s="125">
        <f t="shared" si="28"/>
        <v>0</v>
      </c>
      <c r="AN256" s="128"/>
    </row>
    <row r="257" spans="1:56" x14ac:dyDescent="0.25">
      <c r="A257" s="366"/>
      <c r="B257" s="366"/>
      <c r="C257" s="140" t="s">
        <v>65</v>
      </c>
      <c r="D257" s="123"/>
      <c r="E257" s="123"/>
      <c r="F257" s="123"/>
      <c r="G257" s="123"/>
      <c r="H257" s="123"/>
      <c r="I257" s="123"/>
      <c r="J257" s="126"/>
      <c r="K257" s="126"/>
      <c r="L257" s="126"/>
      <c r="M257" s="126"/>
      <c r="N257" s="126"/>
      <c r="O257" s="126"/>
      <c r="P257" s="125">
        <f t="shared" si="27"/>
        <v>0</v>
      </c>
      <c r="Q257" s="126"/>
      <c r="R257" s="126"/>
      <c r="S257" s="126"/>
      <c r="T257" s="126"/>
      <c r="U257" s="126"/>
      <c r="V257" s="126"/>
      <c r="W257" s="126"/>
      <c r="X257" s="125">
        <f t="shared" si="29"/>
        <v>0</v>
      </c>
      <c r="Y257" s="123"/>
      <c r="Z257" s="123"/>
      <c r="AA257" s="123"/>
      <c r="AB257" s="123"/>
      <c r="AC257" s="123"/>
      <c r="AD257" s="125">
        <f t="shared" si="30"/>
        <v>0</v>
      </c>
      <c r="AE257" s="123"/>
      <c r="AF257" s="123"/>
      <c r="AG257" s="123"/>
      <c r="AH257" s="123"/>
      <c r="AI257" s="123"/>
      <c r="AJ257" s="123"/>
      <c r="AK257" s="123"/>
      <c r="AL257" s="123"/>
      <c r="AM257" s="125">
        <f t="shared" si="28"/>
        <v>0</v>
      </c>
      <c r="AN257" s="128"/>
    </row>
    <row r="258" spans="1:56" x14ac:dyDescent="0.25">
      <c r="A258" s="366"/>
      <c r="B258" s="366"/>
      <c r="C258" s="147" t="s">
        <v>66</v>
      </c>
      <c r="D258" s="123"/>
      <c r="E258" s="123"/>
      <c r="F258" s="123"/>
      <c r="G258" s="123"/>
      <c r="H258" s="123"/>
      <c r="I258" s="123"/>
      <c r="J258" s="126"/>
      <c r="K258" s="126"/>
      <c r="L258" s="126"/>
      <c r="M258" s="126"/>
      <c r="N258" s="126"/>
      <c r="O258" s="126"/>
      <c r="P258" s="125">
        <f t="shared" si="27"/>
        <v>0</v>
      </c>
      <c r="Q258" s="126"/>
      <c r="R258" s="126"/>
      <c r="S258" s="126"/>
      <c r="T258" s="126"/>
      <c r="U258" s="126"/>
      <c r="V258" s="126"/>
      <c r="W258" s="126"/>
      <c r="X258" s="125">
        <f t="shared" si="29"/>
        <v>0</v>
      </c>
      <c r="Y258" s="123"/>
      <c r="Z258" s="123"/>
      <c r="AA258" s="123"/>
      <c r="AB258" s="123"/>
      <c r="AC258" s="123"/>
      <c r="AD258" s="125">
        <f t="shared" si="30"/>
        <v>0</v>
      </c>
      <c r="AE258" s="123"/>
      <c r="AF258" s="123"/>
      <c r="AG258" s="123"/>
      <c r="AH258" s="123"/>
      <c r="AI258" s="123"/>
      <c r="AJ258" s="123"/>
      <c r="AK258" s="123"/>
      <c r="AL258" s="123"/>
      <c r="AM258" s="125">
        <f t="shared" si="28"/>
        <v>0</v>
      </c>
      <c r="AN258" s="128"/>
    </row>
    <row r="259" spans="1:56" s="217" customFormat="1" x14ac:dyDescent="0.25">
      <c r="A259" s="367"/>
      <c r="B259" s="367"/>
      <c r="C259" s="221" t="s">
        <v>67</v>
      </c>
      <c r="D259" s="214"/>
      <c r="E259" s="214"/>
      <c r="F259" s="214"/>
      <c r="G259" s="214"/>
      <c r="H259" s="214"/>
      <c r="I259" s="214"/>
      <c r="J259" s="222"/>
      <c r="K259" s="222"/>
      <c r="L259" s="222"/>
      <c r="M259" s="222"/>
      <c r="N259" s="222"/>
      <c r="O259" s="222"/>
      <c r="P259" s="215">
        <f t="shared" si="27"/>
        <v>0</v>
      </c>
      <c r="Q259" s="222"/>
      <c r="R259" s="222"/>
      <c r="S259" s="222"/>
      <c r="T259" s="222"/>
      <c r="U259" s="222"/>
      <c r="V259" s="222"/>
      <c r="W259" s="222"/>
      <c r="X259" s="215">
        <f t="shared" si="29"/>
        <v>0</v>
      </c>
      <c r="Y259" s="214"/>
      <c r="Z259" s="214"/>
      <c r="AA259" s="214"/>
      <c r="AB259" s="214"/>
      <c r="AC259" s="214"/>
      <c r="AD259" s="215">
        <f t="shared" si="30"/>
        <v>0</v>
      </c>
      <c r="AE259" s="214"/>
      <c r="AF259" s="214"/>
      <c r="AG259" s="214"/>
      <c r="AH259" s="214"/>
      <c r="AI259" s="214"/>
      <c r="AJ259" s="214"/>
      <c r="AK259" s="214"/>
      <c r="AL259" s="214"/>
      <c r="AM259" s="215">
        <f t="shared" si="28"/>
        <v>0</v>
      </c>
      <c r="AN259" s="216"/>
      <c r="AP259" s="218"/>
      <c r="AQ259" s="218"/>
      <c r="AR259" s="218"/>
      <c r="AS259" s="218"/>
      <c r="AT259" s="218"/>
      <c r="AU259" s="218"/>
      <c r="AV259" s="218"/>
      <c r="AW259" s="218"/>
      <c r="AX259" s="218"/>
      <c r="AY259" s="218"/>
      <c r="AZ259" s="218"/>
      <c r="BA259" s="218"/>
      <c r="BB259" s="218"/>
      <c r="BC259" s="218"/>
      <c r="BD259" s="224"/>
    </row>
    <row r="260" spans="1:56" s="83" customFormat="1" x14ac:dyDescent="0.25">
      <c r="A260" s="365">
        <v>22</v>
      </c>
      <c r="B260" s="368" t="s">
        <v>27</v>
      </c>
      <c r="C260" s="143" t="s">
        <v>56</v>
      </c>
      <c r="D260" s="207"/>
      <c r="E260" s="208">
        <v>4</v>
      </c>
      <c r="F260" s="207"/>
      <c r="G260" s="207"/>
      <c r="H260" s="176"/>
      <c r="I260" s="176"/>
      <c r="J260" s="176"/>
      <c r="K260" s="176"/>
      <c r="L260" s="207"/>
      <c r="M260" s="207"/>
      <c r="N260" s="207"/>
      <c r="O260" s="207"/>
      <c r="P260" s="209">
        <f t="shared" si="27"/>
        <v>4</v>
      </c>
      <c r="Q260" s="208">
        <v>1307</v>
      </c>
      <c r="R260" s="208">
        <v>2</v>
      </c>
      <c r="S260" s="207"/>
      <c r="T260" s="207"/>
      <c r="U260" s="207"/>
      <c r="V260" s="208">
        <v>765</v>
      </c>
      <c r="W260" s="208">
        <v>30</v>
      </c>
      <c r="X260" s="209">
        <f t="shared" si="29"/>
        <v>797</v>
      </c>
      <c r="Y260" s="208">
        <v>997</v>
      </c>
      <c r="Z260" s="208">
        <v>3</v>
      </c>
      <c r="AA260" s="208">
        <v>3</v>
      </c>
      <c r="AB260" s="208">
        <v>1</v>
      </c>
      <c r="AC260" s="176"/>
      <c r="AD260" s="209">
        <f t="shared" si="30"/>
        <v>1004</v>
      </c>
      <c r="AE260" s="176"/>
      <c r="AF260" s="208">
        <v>1</v>
      </c>
      <c r="AG260" s="176"/>
      <c r="AH260" s="207"/>
      <c r="AI260" s="208">
        <v>2</v>
      </c>
      <c r="AJ260" s="176"/>
      <c r="AK260" s="176"/>
      <c r="AL260" s="176"/>
      <c r="AM260" s="209">
        <f t="shared" si="28"/>
        <v>1801</v>
      </c>
      <c r="AN260" s="219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 s="88"/>
    </row>
    <row r="261" spans="1:56" x14ac:dyDescent="0.25">
      <c r="A261" s="366"/>
      <c r="B261" s="369"/>
      <c r="C261" s="122" t="s">
        <v>57</v>
      </c>
      <c r="D261" s="126"/>
      <c r="E261" s="126"/>
      <c r="F261" s="126"/>
      <c r="G261" s="123"/>
      <c r="H261" s="123"/>
      <c r="I261" s="123"/>
      <c r="J261" s="123"/>
      <c r="K261" s="126"/>
      <c r="L261" s="123"/>
      <c r="M261" s="123"/>
      <c r="N261" s="123"/>
      <c r="O261" s="123"/>
      <c r="P261" s="125">
        <f t="shared" si="27"/>
        <v>0</v>
      </c>
      <c r="Q261" s="126"/>
      <c r="R261" s="126"/>
      <c r="S261" s="126"/>
      <c r="T261" s="126"/>
      <c r="U261" s="126"/>
      <c r="V261" s="126"/>
      <c r="W261" s="126"/>
      <c r="X261" s="125">
        <f t="shared" si="29"/>
        <v>0</v>
      </c>
      <c r="Y261" s="126"/>
      <c r="Z261" s="123"/>
      <c r="AA261" s="123"/>
      <c r="AB261" s="123"/>
      <c r="AC261" s="123"/>
      <c r="AD261" s="125">
        <f t="shared" si="30"/>
        <v>0</v>
      </c>
      <c r="AE261" s="123"/>
      <c r="AF261" s="123">
        <v>0</v>
      </c>
      <c r="AG261" s="123"/>
      <c r="AH261" s="166"/>
      <c r="AI261" s="123"/>
      <c r="AJ261" s="123"/>
      <c r="AK261" s="123"/>
      <c r="AL261" s="123"/>
      <c r="AM261" s="125">
        <f t="shared" si="28"/>
        <v>0</v>
      </c>
      <c r="AN261" s="128"/>
    </row>
    <row r="262" spans="1:56" x14ac:dyDescent="0.25">
      <c r="A262" s="366"/>
      <c r="B262" s="369"/>
      <c r="C262" s="122" t="s">
        <v>58</v>
      </c>
      <c r="D262" s="129">
        <v>2</v>
      </c>
      <c r="E262" s="129">
        <v>5</v>
      </c>
      <c r="F262" s="123"/>
      <c r="G262" s="123"/>
      <c r="H262" s="123"/>
      <c r="I262" s="123"/>
      <c r="J262" s="129">
        <v>1</v>
      </c>
      <c r="K262" s="123"/>
      <c r="L262" s="123"/>
      <c r="M262" s="123"/>
      <c r="N262" s="123"/>
      <c r="O262" s="123"/>
      <c r="P262" s="125">
        <f t="shared" si="27"/>
        <v>8</v>
      </c>
      <c r="Q262" s="129">
        <v>65</v>
      </c>
      <c r="R262" s="123"/>
      <c r="S262" s="123"/>
      <c r="T262" s="123"/>
      <c r="U262" s="123"/>
      <c r="V262" s="129">
        <v>144</v>
      </c>
      <c r="W262" s="123"/>
      <c r="X262" s="125">
        <f t="shared" si="29"/>
        <v>144</v>
      </c>
      <c r="Y262" s="129">
        <f>3+66</f>
        <v>69</v>
      </c>
      <c r="Z262" s="129">
        <v>1</v>
      </c>
      <c r="AA262" s="123"/>
      <c r="AB262" s="123"/>
      <c r="AC262" s="123"/>
      <c r="AD262" s="125">
        <f t="shared" si="30"/>
        <v>70</v>
      </c>
      <c r="AE262" s="123"/>
      <c r="AF262" s="123"/>
      <c r="AG262" s="123"/>
      <c r="AH262" s="166"/>
      <c r="AI262" s="123"/>
      <c r="AJ262" s="123"/>
      <c r="AK262" s="123"/>
      <c r="AL262" s="123"/>
      <c r="AM262" s="125">
        <f t="shared" si="28"/>
        <v>214</v>
      </c>
      <c r="AN262" s="128"/>
    </row>
    <row r="263" spans="1:56" x14ac:dyDescent="0.25">
      <c r="A263" s="366"/>
      <c r="B263" s="369"/>
      <c r="C263" s="122" t="s">
        <v>59</v>
      </c>
      <c r="D263" s="123"/>
      <c r="E263" s="126"/>
      <c r="F263" s="126"/>
      <c r="G263" s="123"/>
      <c r="H263" s="123"/>
      <c r="I263" s="123"/>
      <c r="J263" s="123"/>
      <c r="K263" s="123"/>
      <c r="L263" s="123"/>
      <c r="M263" s="123"/>
      <c r="N263" s="123"/>
      <c r="O263" s="123"/>
      <c r="P263" s="125">
        <f t="shared" si="27"/>
        <v>0</v>
      </c>
      <c r="Q263" s="126"/>
      <c r="R263" s="126"/>
      <c r="S263" s="126"/>
      <c r="T263" s="126"/>
      <c r="U263" s="126"/>
      <c r="V263" s="126"/>
      <c r="W263" s="126"/>
      <c r="X263" s="125">
        <f t="shared" si="29"/>
        <v>0</v>
      </c>
      <c r="Y263" s="126"/>
      <c r="Z263" s="123"/>
      <c r="AA263" s="123"/>
      <c r="AB263" s="123"/>
      <c r="AC263" s="123"/>
      <c r="AD263" s="125">
        <f t="shared" si="30"/>
        <v>0</v>
      </c>
      <c r="AE263" s="123"/>
      <c r="AF263" s="123"/>
      <c r="AG263" s="123"/>
      <c r="AH263" s="166"/>
      <c r="AI263" s="123"/>
      <c r="AJ263" s="123"/>
      <c r="AK263" s="123"/>
      <c r="AL263" s="123"/>
      <c r="AM263" s="125">
        <f t="shared" si="28"/>
        <v>0</v>
      </c>
      <c r="AN263" s="128"/>
    </row>
    <row r="264" spans="1:56" x14ac:dyDescent="0.25">
      <c r="A264" s="366"/>
      <c r="B264" s="369"/>
      <c r="C264" s="122" t="s">
        <v>60</v>
      </c>
      <c r="D264" s="123"/>
      <c r="E264" s="126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5">
        <f t="shared" ref="P264:P295" si="31">SUM(D264:O264)</f>
        <v>0</v>
      </c>
      <c r="Q264" s="126"/>
      <c r="R264" s="126"/>
      <c r="S264" s="126"/>
      <c r="T264" s="126"/>
      <c r="U264" s="126"/>
      <c r="V264" s="126"/>
      <c r="W264" s="126"/>
      <c r="X264" s="125">
        <f t="shared" si="29"/>
        <v>0</v>
      </c>
      <c r="Y264" s="123"/>
      <c r="Z264" s="123"/>
      <c r="AA264" s="123"/>
      <c r="AB264" s="123"/>
      <c r="AC264" s="123"/>
      <c r="AD264" s="125">
        <f t="shared" si="30"/>
        <v>0</v>
      </c>
      <c r="AE264" s="123"/>
      <c r="AF264" s="123"/>
      <c r="AG264" s="123"/>
      <c r="AH264" s="166"/>
      <c r="AI264" s="123"/>
      <c r="AJ264" s="123"/>
      <c r="AK264" s="123"/>
      <c r="AL264" s="123"/>
      <c r="AM264" s="125">
        <f t="shared" si="28"/>
        <v>0</v>
      </c>
      <c r="AN264" s="128"/>
    </row>
    <row r="265" spans="1:56" x14ac:dyDescent="0.25">
      <c r="A265" s="366"/>
      <c r="B265" s="369"/>
      <c r="C265" s="122" t="s">
        <v>61</v>
      </c>
      <c r="D265" s="123"/>
      <c r="E265" s="126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5">
        <f t="shared" si="31"/>
        <v>0</v>
      </c>
      <c r="Q265" s="126"/>
      <c r="R265" s="126"/>
      <c r="S265" s="126"/>
      <c r="T265" s="126"/>
      <c r="U265" s="126"/>
      <c r="V265" s="126"/>
      <c r="W265" s="126"/>
      <c r="X265" s="125">
        <f t="shared" si="29"/>
        <v>0</v>
      </c>
      <c r="Y265" s="123"/>
      <c r="Z265" s="123"/>
      <c r="AA265" s="123"/>
      <c r="AB265" s="123"/>
      <c r="AC265" s="123"/>
      <c r="AD265" s="125">
        <f t="shared" si="30"/>
        <v>0</v>
      </c>
      <c r="AE265" s="123"/>
      <c r="AF265" s="123"/>
      <c r="AG265" s="123"/>
      <c r="AH265" s="123"/>
      <c r="AI265" s="123"/>
      <c r="AJ265" s="123"/>
      <c r="AK265" s="123"/>
      <c r="AL265" s="123"/>
      <c r="AM265" s="125">
        <f t="shared" si="28"/>
        <v>0</v>
      </c>
      <c r="AN265" s="128"/>
    </row>
    <row r="266" spans="1:56" x14ac:dyDescent="0.25">
      <c r="A266" s="366"/>
      <c r="B266" s="369"/>
      <c r="C266" s="122" t="s">
        <v>62</v>
      </c>
      <c r="D266" s="129">
        <v>1</v>
      </c>
      <c r="E266" s="123"/>
      <c r="F266" s="123"/>
      <c r="G266" s="123"/>
      <c r="H266" s="123"/>
      <c r="I266" s="129">
        <v>1</v>
      </c>
      <c r="J266" s="129">
        <v>4</v>
      </c>
      <c r="K266" s="129">
        <v>2</v>
      </c>
      <c r="L266" s="129">
        <v>2</v>
      </c>
      <c r="M266" s="129">
        <v>1</v>
      </c>
      <c r="N266" s="129">
        <v>1</v>
      </c>
      <c r="O266" s="123"/>
      <c r="P266" s="125">
        <f t="shared" si="31"/>
        <v>12</v>
      </c>
      <c r="Q266" s="129">
        <f>1+1+1</f>
        <v>3</v>
      </c>
      <c r="R266" s="129">
        <v>1</v>
      </c>
      <c r="S266" s="123"/>
      <c r="T266" s="123"/>
      <c r="U266" s="123"/>
      <c r="V266" s="129">
        <f>5+2+8</f>
        <v>15</v>
      </c>
      <c r="W266" s="129">
        <v>9</v>
      </c>
      <c r="X266" s="125">
        <f t="shared" si="29"/>
        <v>25</v>
      </c>
      <c r="Y266" s="129">
        <f>1+1+5+2+1+1</f>
        <v>11</v>
      </c>
      <c r="Z266" s="123"/>
      <c r="AA266" s="123"/>
      <c r="AB266" s="123"/>
      <c r="AC266" s="123"/>
      <c r="AD266" s="125">
        <f t="shared" si="30"/>
        <v>11</v>
      </c>
      <c r="AE266" s="123"/>
      <c r="AF266" s="123"/>
      <c r="AG266" s="123"/>
      <c r="AH266" s="123"/>
      <c r="AI266" s="123"/>
      <c r="AJ266" s="129">
        <f>1+1</f>
        <v>2</v>
      </c>
      <c r="AK266" s="123"/>
      <c r="AL266" s="123"/>
      <c r="AM266" s="125">
        <f t="shared" si="28"/>
        <v>36</v>
      </c>
      <c r="AN266" s="138">
        <v>45000000</v>
      </c>
    </row>
    <row r="267" spans="1:56" x14ac:dyDescent="0.25">
      <c r="A267" s="366"/>
      <c r="B267" s="369"/>
      <c r="C267" s="122" t="s">
        <v>63</v>
      </c>
      <c r="D267" s="129">
        <v>6</v>
      </c>
      <c r="E267" s="123"/>
      <c r="F267" s="123"/>
      <c r="G267" s="129">
        <v>4</v>
      </c>
      <c r="H267" s="129">
        <v>1</v>
      </c>
      <c r="I267" s="129">
        <v>2</v>
      </c>
      <c r="J267" s="129">
        <v>3</v>
      </c>
      <c r="K267" s="129">
        <v>21</v>
      </c>
      <c r="L267" s="129">
        <v>3</v>
      </c>
      <c r="M267" s="123"/>
      <c r="N267" s="129">
        <v>1</v>
      </c>
      <c r="O267" s="129">
        <v>2</v>
      </c>
      <c r="P267" s="125">
        <f t="shared" si="31"/>
        <v>43</v>
      </c>
      <c r="Q267" s="129">
        <v>3</v>
      </c>
      <c r="R267" s="123"/>
      <c r="S267" s="123"/>
      <c r="T267" s="123"/>
      <c r="U267" s="123"/>
      <c r="V267" s="129">
        <f>7+4+4</f>
        <v>15</v>
      </c>
      <c r="W267" s="129">
        <v>1</v>
      </c>
      <c r="X267" s="125">
        <f t="shared" si="29"/>
        <v>16</v>
      </c>
      <c r="Y267" s="129">
        <f>14+1+2+4+2+10+1+2</f>
        <v>36</v>
      </c>
      <c r="Z267" s="129">
        <v>2</v>
      </c>
      <c r="AA267" s="123"/>
      <c r="AB267" s="123"/>
      <c r="AC267" s="129">
        <v>1</v>
      </c>
      <c r="AD267" s="125">
        <f t="shared" si="30"/>
        <v>39</v>
      </c>
      <c r="AE267" s="129">
        <f>2+1</f>
        <v>3</v>
      </c>
      <c r="AF267" s="123"/>
      <c r="AG267" s="123"/>
      <c r="AH267" s="123"/>
      <c r="AI267" s="123"/>
      <c r="AJ267" s="129">
        <v>3</v>
      </c>
      <c r="AK267" s="123"/>
      <c r="AL267" s="123"/>
      <c r="AM267" s="125">
        <f t="shared" si="28"/>
        <v>55</v>
      </c>
      <c r="AN267" s="128"/>
    </row>
    <row r="268" spans="1:56" x14ac:dyDescent="0.25">
      <c r="A268" s="366"/>
      <c r="B268" s="369"/>
      <c r="C268" s="122" t="s">
        <v>64</v>
      </c>
      <c r="D268" s="123"/>
      <c r="E268" s="123"/>
      <c r="F268" s="126"/>
      <c r="G268" s="123"/>
      <c r="H268" s="123"/>
      <c r="I268" s="123"/>
      <c r="J268" s="123"/>
      <c r="K268" s="123"/>
      <c r="L268" s="123"/>
      <c r="M268" s="123"/>
      <c r="N268" s="123"/>
      <c r="O268" s="123"/>
      <c r="P268" s="125">
        <f t="shared" si="31"/>
        <v>0</v>
      </c>
      <c r="Q268" s="126"/>
      <c r="R268" s="126"/>
      <c r="S268" s="126"/>
      <c r="T268" s="126"/>
      <c r="U268" s="126"/>
      <c r="V268" s="126"/>
      <c r="W268" s="126"/>
      <c r="X268" s="125">
        <f t="shared" si="29"/>
        <v>0</v>
      </c>
      <c r="Y268" s="123"/>
      <c r="Z268" s="123"/>
      <c r="AA268" s="123"/>
      <c r="AB268" s="123"/>
      <c r="AC268" s="123"/>
      <c r="AD268" s="125">
        <f t="shared" si="30"/>
        <v>0</v>
      </c>
      <c r="AE268" s="123"/>
      <c r="AF268" s="126"/>
      <c r="AG268" s="126"/>
      <c r="AH268" s="123"/>
      <c r="AI268" s="123"/>
      <c r="AJ268" s="123"/>
      <c r="AK268" s="123"/>
      <c r="AL268" s="123"/>
      <c r="AM268" s="125">
        <f t="shared" si="28"/>
        <v>0</v>
      </c>
      <c r="AN268" s="128"/>
    </row>
    <row r="269" spans="1:56" x14ac:dyDescent="0.25">
      <c r="A269" s="366"/>
      <c r="B269" s="369"/>
      <c r="C269" s="140" t="s">
        <v>65</v>
      </c>
      <c r="D269" s="126"/>
      <c r="E269" s="123"/>
      <c r="F269" s="123"/>
      <c r="G269" s="123"/>
      <c r="H269" s="123"/>
      <c r="I269" s="126"/>
      <c r="J269" s="123"/>
      <c r="K269" s="123"/>
      <c r="L269" s="126"/>
      <c r="M269" s="126"/>
      <c r="N269" s="126"/>
      <c r="O269" s="126"/>
      <c r="P269" s="125">
        <f t="shared" si="31"/>
        <v>0</v>
      </c>
      <c r="Q269" s="126"/>
      <c r="R269" s="126"/>
      <c r="S269" s="126"/>
      <c r="T269" s="126"/>
      <c r="U269" s="126"/>
      <c r="V269" s="126"/>
      <c r="W269" s="126"/>
      <c r="X269" s="125">
        <f t="shared" si="29"/>
        <v>0</v>
      </c>
      <c r="Y269" s="126"/>
      <c r="Z269" s="123"/>
      <c r="AA269" s="123"/>
      <c r="AB269" s="123"/>
      <c r="AC269" s="123"/>
      <c r="AD269" s="125">
        <f t="shared" si="30"/>
        <v>0</v>
      </c>
      <c r="AE269" s="123"/>
      <c r="AF269" s="123"/>
      <c r="AG269" s="123"/>
      <c r="AH269" s="123"/>
      <c r="AI269" s="123"/>
      <c r="AJ269" s="123"/>
      <c r="AK269" s="123"/>
      <c r="AL269" s="123"/>
      <c r="AM269" s="125">
        <f t="shared" si="28"/>
        <v>0</v>
      </c>
      <c r="AN269" s="128"/>
    </row>
    <row r="270" spans="1:56" x14ac:dyDescent="0.25">
      <c r="A270" s="366"/>
      <c r="B270" s="369"/>
      <c r="C270" s="147" t="s">
        <v>66</v>
      </c>
      <c r="D270" s="126"/>
      <c r="E270" s="123"/>
      <c r="F270" s="123"/>
      <c r="G270" s="123"/>
      <c r="H270" s="123"/>
      <c r="I270" s="126"/>
      <c r="J270" s="123"/>
      <c r="K270" s="123"/>
      <c r="L270" s="126"/>
      <c r="M270" s="126"/>
      <c r="N270" s="126"/>
      <c r="O270" s="126"/>
      <c r="P270" s="125">
        <f t="shared" si="31"/>
        <v>0</v>
      </c>
      <c r="Q270" s="126"/>
      <c r="R270" s="126"/>
      <c r="S270" s="126"/>
      <c r="T270" s="126"/>
      <c r="U270" s="126"/>
      <c r="V270" s="126"/>
      <c r="W270" s="126"/>
      <c r="X270" s="125">
        <f t="shared" si="29"/>
        <v>0</v>
      </c>
      <c r="Y270" s="126"/>
      <c r="Z270" s="123"/>
      <c r="AA270" s="123"/>
      <c r="AB270" s="123"/>
      <c r="AC270" s="123"/>
      <c r="AD270" s="125">
        <f t="shared" si="30"/>
        <v>0</v>
      </c>
      <c r="AE270" s="123"/>
      <c r="AF270" s="123"/>
      <c r="AG270" s="123"/>
      <c r="AH270" s="123"/>
      <c r="AI270" s="123"/>
      <c r="AJ270" s="123"/>
      <c r="AK270" s="123"/>
      <c r="AL270" s="123"/>
      <c r="AM270" s="125">
        <f t="shared" si="28"/>
        <v>0</v>
      </c>
      <c r="AN270" s="128"/>
    </row>
    <row r="271" spans="1:56" s="217" customFormat="1" x14ac:dyDescent="0.25">
      <c r="A271" s="367"/>
      <c r="B271" s="370"/>
      <c r="C271" s="221" t="s">
        <v>67</v>
      </c>
      <c r="D271" s="222"/>
      <c r="E271" s="214"/>
      <c r="F271" s="214"/>
      <c r="G271" s="214"/>
      <c r="H271" s="214"/>
      <c r="I271" s="222"/>
      <c r="J271" s="214"/>
      <c r="K271" s="214"/>
      <c r="L271" s="222"/>
      <c r="M271" s="222"/>
      <c r="N271" s="222"/>
      <c r="O271" s="222"/>
      <c r="P271" s="215">
        <f t="shared" si="31"/>
        <v>0</v>
      </c>
      <c r="Q271" s="222"/>
      <c r="R271" s="222"/>
      <c r="S271" s="222"/>
      <c r="T271" s="222"/>
      <c r="U271" s="222"/>
      <c r="V271" s="222"/>
      <c r="W271" s="222"/>
      <c r="X271" s="215">
        <f t="shared" si="29"/>
        <v>0</v>
      </c>
      <c r="Y271" s="222"/>
      <c r="Z271" s="214"/>
      <c r="AA271" s="214"/>
      <c r="AB271" s="214"/>
      <c r="AC271" s="214"/>
      <c r="AD271" s="215">
        <f t="shared" si="30"/>
        <v>0</v>
      </c>
      <c r="AE271" s="214"/>
      <c r="AF271" s="214"/>
      <c r="AG271" s="214"/>
      <c r="AH271" s="214"/>
      <c r="AI271" s="214"/>
      <c r="AJ271" s="214"/>
      <c r="AK271" s="214"/>
      <c r="AL271" s="214"/>
      <c r="AM271" s="215">
        <f t="shared" si="28"/>
        <v>0</v>
      </c>
      <c r="AN271" s="216"/>
      <c r="AP271" s="218"/>
      <c r="AQ271" s="218"/>
      <c r="AR271" s="218"/>
      <c r="AS271" s="218"/>
      <c r="AT271" s="218"/>
      <c r="AU271" s="218"/>
      <c r="AV271" s="218"/>
      <c r="AW271" s="218"/>
      <c r="AX271" s="218"/>
      <c r="AY271" s="218"/>
      <c r="AZ271" s="218"/>
      <c r="BA271" s="218"/>
      <c r="BB271" s="218"/>
      <c r="BC271" s="218"/>
      <c r="BD271" s="224"/>
    </row>
    <row r="272" spans="1:56" s="83" customFormat="1" x14ac:dyDescent="0.25">
      <c r="A272" s="365">
        <v>23</v>
      </c>
      <c r="B272" s="368" t="s">
        <v>37</v>
      </c>
      <c r="C272" s="143" t="s">
        <v>56</v>
      </c>
      <c r="D272" s="176"/>
      <c r="E272" s="207"/>
      <c r="F272" s="208">
        <v>1</v>
      </c>
      <c r="G272" s="176"/>
      <c r="H272" s="208">
        <v>1</v>
      </c>
      <c r="I272" s="176"/>
      <c r="J272" s="207"/>
      <c r="K272" s="207"/>
      <c r="L272" s="207"/>
      <c r="M272" s="208">
        <v>1</v>
      </c>
      <c r="N272" s="176"/>
      <c r="O272" s="176"/>
      <c r="P272" s="209">
        <f t="shared" si="31"/>
        <v>3</v>
      </c>
      <c r="Q272" s="207"/>
      <c r="R272" s="207"/>
      <c r="S272" s="207"/>
      <c r="T272" s="207"/>
      <c r="U272" s="207"/>
      <c r="V272" s="208">
        <v>1</v>
      </c>
      <c r="W272" s="207"/>
      <c r="X272" s="209">
        <f t="shared" si="29"/>
        <v>1</v>
      </c>
      <c r="Y272" s="208">
        <f>4+1+1</f>
        <v>6</v>
      </c>
      <c r="Z272" s="176"/>
      <c r="AA272" s="176"/>
      <c r="AB272" s="176"/>
      <c r="AC272" s="176"/>
      <c r="AD272" s="209">
        <f t="shared" si="30"/>
        <v>6</v>
      </c>
      <c r="AE272" s="176"/>
      <c r="AF272" s="207"/>
      <c r="AG272" s="207"/>
      <c r="AH272" s="207"/>
      <c r="AI272" s="176"/>
      <c r="AJ272" s="176"/>
      <c r="AK272" s="176"/>
      <c r="AL272" s="176"/>
      <c r="AM272" s="209">
        <f t="shared" si="28"/>
        <v>7</v>
      </c>
      <c r="AN272" s="219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 s="88"/>
    </row>
    <row r="273" spans="1:56" x14ac:dyDescent="0.25">
      <c r="A273" s="366"/>
      <c r="B273" s="369"/>
      <c r="C273" s="122" t="s">
        <v>57</v>
      </c>
      <c r="D273" s="123"/>
      <c r="E273" s="126"/>
      <c r="F273" s="126"/>
      <c r="G273" s="126"/>
      <c r="H273" s="126"/>
      <c r="I273" s="123"/>
      <c r="J273" s="123"/>
      <c r="K273" s="123"/>
      <c r="L273" s="123"/>
      <c r="M273" s="123"/>
      <c r="N273" s="123"/>
      <c r="O273" s="123"/>
      <c r="P273" s="125">
        <f t="shared" si="31"/>
        <v>0</v>
      </c>
      <c r="Q273" s="126"/>
      <c r="R273" s="126"/>
      <c r="S273" s="126"/>
      <c r="T273" s="126"/>
      <c r="U273" s="126"/>
      <c r="V273" s="126"/>
      <c r="W273" s="126"/>
      <c r="X273" s="125">
        <f t="shared" si="29"/>
        <v>0</v>
      </c>
      <c r="Y273" s="126"/>
      <c r="Z273" s="123"/>
      <c r="AA273" s="123"/>
      <c r="AB273" s="123"/>
      <c r="AC273" s="123"/>
      <c r="AD273" s="125">
        <f t="shared" si="30"/>
        <v>0</v>
      </c>
      <c r="AE273" s="123"/>
      <c r="AF273" s="123">
        <v>0</v>
      </c>
      <c r="AG273" s="123"/>
      <c r="AH273" s="126"/>
      <c r="AI273" s="123"/>
      <c r="AJ273" s="123"/>
      <c r="AK273" s="123"/>
      <c r="AL273" s="123"/>
      <c r="AM273" s="125">
        <f t="shared" si="28"/>
        <v>0</v>
      </c>
      <c r="AN273" s="128"/>
    </row>
    <row r="274" spans="1:56" x14ac:dyDescent="0.25">
      <c r="A274" s="366"/>
      <c r="B274" s="369"/>
      <c r="C274" s="122" t="s">
        <v>58</v>
      </c>
      <c r="D274" s="123"/>
      <c r="E274" s="123"/>
      <c r="F274" s="126"/>
      <c r="G274" s="123"/>
      <c r="H274" s="129">
        <v>4</v>
      </c>
      <c r="I274" s="123"/>
      <c r="J274" s="123"/>
      <c r="K274" s="123"/>
      <c r="L274" s="123"/>
      <c r="M274" s="123"/>
      <c r="N274" s="123"/>
      <c r="O274" s="123"/>
      <c r="P274" s="125">
        <f t="shared" si="31"/>
        <v>4</v>
      </c>
      <c r="Q274" s="129">
        <v>35</v>
      </c>
      <c r="R274" s="126"/>
      <c r="S274" s="126"/>
      <c r="T274" s="126"/>
      <c r="U274" s="126"/>
      <c r="V274" s="126"/>
      <c r="W274" s="126"/>
      <c r="X274" s="125">
        <f t="shared" si="29"/>
        <v>0</v>
      </c>
      <c r="Y274" s="123"/>
      <c r="Z274" s="123"/>
      <c r="AA274" s="123"/>
      <c r="AB274" s="123"/>
      <c r="AC274" s="123"/>
      <c r="AD274" s="125">
        <f t="shared" si="30"/>
        <v>0</v>
      </c>
      <c r="AE274" s="129">
        <v>56</v>
      </c>
      <c r="AF274" s="123"/>
      <c r="AG274" s="123"/>
      <c r="AH274" s="129">
        <v>100</v>
      </c>
      <c r="AI274" s="123"/>
      <c r="AJ274" s="123"/>
      <c r="AK274" s="123"/>
      <c r="AL274" s="123"/>
      <c r="AM274" s="125">
        <f t="shared" si="28"/>
        <v>0</v>
      </c>
      <c r="AN274" s="138">
        <v>100000000</v>
      </c>
    </row>
    <row r="275" spans="1:56" x14ac:dyDescent="0.25">
      <c r="A275" s="366"/>
      <c r="B275" s="369"/>
      <c r="C275" s="122" t="s">
        <v>59</v>
      </c>
      <c r="D275" s="123"/>
      <c r="E275" s="123"/>
      <c r="F275" s="123"/>
      <c r="G275" s="126"/>
      <c r="H275" s="123"/>
      <c r="I275" s="126"/>
      <c r="J275" s="123"/>
      <c r="K275" s="123"/>
      <c r="L275" s="123"/>
      <c r="M275" s="123"/>
      <c r="N275" s="123"/>
      <c r="O275" s="123"/>
      <c r="P275" s="125">
        <f t="shared" si="31"/>
        <v>0</v>
      </c>
      <c r="Q275" s="126"/>
      <c r="R275" s="126"/>
      <c r="S275" s="126"/>
      <c r="T275" s="126"/>
      <c r="U275" s="126"/>
      <c r="V275" s="126"/>
      <c r="W275" s="126"/>
      <c r="X275" s="125">
        <f t="shared" si="29"/>
        <v>0</v>
      </c>
      <c r="Y275" s="126"/>
      <c r="Z275" s="123"/>
      <c r="AA275" s="123"/>
      <c r="AB275" s="123"/>
      <c r="AC275" s="123"/>
      <c r="AD275" s="125">
        <f t="shared" si="30"/>
        <v>0</v>
      </c>
      <c r="AE275" s="123"/>
      <c r="AF275" s="123"/>
      <c r="AG275" s="123"/>
      <c r="AH275" s="123"/>
      <c r="AI275" s="123"/>
      <c r="AJ275" s="123"/>
      <c r="AK275" s="123"/>
      <c r="AL275" s="123"/>
      <c r="AM275" s="125">
        <f t="shared" si="28"/>
        <v>0</v>
      </c>
      <c r="AN275" s="128"/>
    </row>
    <row r="276" spans="1:56" x14ac:dyDescent="0.25">
      <c r="A276" s="366"/>
      <c r="B276" s="369"/>
      <c r="C276" s="122" t="s">
        <v>60</v>
      </c>
      <c r="D276" s="123"/>
      <c r="E276" s="123"/>
      <c r="F276" s="123"/>
      <c r="G276" s="123"/>
      <c r="H276" s="123"/>
      <c r="I276" s="126"/>
      <c r="J276" s="123"/>
      <c r="K276" s="123"/>
      <c r="L276" s="123"/>
      <c r="M276" s="123"/>
      <c r="N276" s="123"/>
      <c r="O276" s="123"/>
      <c r="P276" s="125">
        <f t="shared" si="31"/>
        <v>0</v>
      </c>
      <c r="Q276" s="126"/>
      <c r="R276" s="126"/>
      <c r="S276" s="126"/>
      <c r="T276" s="126"/>
      <c r="U276" s="126"/>
      <c r="V276" s="126"/>
      <c r="W276" s="126"/>
      <c r="X276" s="125">
        <f t="shared" si="29"/>
        <v>0</v>
      </c>
      <c r="Y276" s="123"/>
      <c r="Z276" s="123"/>
      <c r="AA276" s="123"/>
      <c r="AB276" s="123"/>
      <c r="AC276" s="123"/>
      <c r="AD276" s="125">
        <f t="shared" si="30"/>
        <v>0</v>
      </c>
      <c r="AE276" s="123"/>
      <c r="AF276" s="166"/>
      <c r="AG276" s="166"/>
      <c r="AH276" s="123"/>
      <c r="AI276" s="123"/>
      <c r="AJ276" s="123"/>
      <c r="AK276" s="123"/>
      <c r="AL276" s="123"/>
      <c r="AM276" s="125">
        <f t="shared" ref="AM276:AM295" si="32">SUM(AD276,X276)</f>
        <v>0</v>
      </c>
      <c r="AN276" s="128"/>
    </row>
    <row r="277" spans="1:56" x14ac:dyDescent="0.25">
      <c r="A277" s="366"/>
      <c r="B277" s="369"/>
      <c r="C277" s="122" t="s">
        <v>61</v>
      </c>
      <c r="D277" s="123"/>
      <c r="E277" s="123"/>
      <c r="F277" s="123"/>
      <c r="G277" s="123"/>
      <c r="H277" s="123"/>
      <c r="I277" s="126"/>
      <c r="J277" s="123"/>
      <c r="K277" s="126"/>
      <c r="L277" s="123"/>
      <c r="M277" s="123"/>
      <c r="N277" s="123"/>
      <c r="O277" s="123"/>
      <c r="P277" s="125">
        <f t="shared" si="31"/>
        <v>0</v>
      </c>
      <c r="Q277" s="126"/>
      <c r="R277" s="126"/>
      <c r="S277" s="126"/>
      <c r="T277" s="126"/>
      <c r="U277" s="126"/>
      <c r="V277" s="126"/>
      <c r="W277" s="126"/>
      <c r="X277" s="125">
        <f t="shared" si="29"/>
        <v>0</v>
      </c>
      <c r="Y277" s="123"/>
      <c r="Z277" s="123"/>
      <c r="AA277" s="123"/>
      <c r="AB277" s="123"/>
      <c r="AC277" s="123"/>
      <c r="AD277" s="125">
        <f t="shared" si="30"/>
        <v>0</v>
      </c>
      <c r="AE277" s="123"/>
      <c r="AF277" s="166"/>
      <c r="AG277" s="166"/>
      <c r="AH277" s="123"/>
      <c r="AI277" s="123"/>
      <c r="AJ277" s="123"/>
      <c r="AK277" s="123"/>
      <c r="AL277" s="123"/>
      <c r="AM277" s="125">
        <f t="shared" si="32"/>
        <v>0</v>
      </c>
      <c r="AN277" s="128"/>
    </row>
    <row r="278" spans="1:56" x14ac:dyDescent="0.25">
      <c r="A278" s="366"/>
      <c r="B278" s="369"/>
      <c r="C278" s="122" t="s">
        <v>62</v>
      </c>
      <c r="D278" s="164">
        <v>1</v>
      </c>
      <c r="E278" s="164">
        <v>2</v>
      </c>
      <c r="F278" s="163"/>
      <c r="G278" s="164">
        <v>1</v>
      </c>
      <c r="H278" s="164">
        <v>1</v>
      </c>
      <c r="I278" s="164">
        <v>2</v>
      </c>
      <c r="J278" s="163"/>
      <c r="K278" s="164">
        <v>1</v>
      </c>
      <c r="L278" s="164">
        <v>2</v>
      </c>
      <c r="M278" s="164">
        <v>2</v>
      </c>
      <c r="N278" s="164">
        <v>1</v>
      </c>
      <c r="O278" s="164">
        <v>1</v>
      </c>
      <c r="P278" s="125">
        <f t="shared" si="31"/>
        <v>14</v>
      </c>
      <c r="Q278" s="164">
        <f>1+1+1+1+1+1+1</f>
        <v>7</v>
      </c>
      <c r="R278" s="163"/>
      <c r="S278" s="163"/>
      <c r="T278" s="163"/>
      <c r="U278" s="163"/>
      <c r="V278" s="164">
        <v>1</v>
      </c>
      <c r="W278" s="163"/>
      <c r="X278" s="125">
        <f t="shared" si="29"/>
        <v>1</v>
      </c>
      <c r="Y278" s="164">
        <f>2+1+1+1+2+1+1</f>
        <v>9</v>
      </c>
      <c r="Z278" s="163"/>
      <c r="AA278" s="163"/>
      <c r="AB278" s="163"/>
      <c r="AC278" s="163"/>
      <c r="AD278" s="125">
        <f t="shared" si="30"/>
        <v>9</v>
      </c>
      <c r="AE278" s="163"/>
      <c r="AF278" s="169"/>
      <c r="AG278" s="169"/>
      <c r="AH278" s="163"/>
      <c r="AI278" s="163"/>
      <c r="AJ278" s="164">
        <v>1</v>
      </c>
      <c r="AK278" s="164">
        <v>1</v>
      </c>
      <c r="AL278" s="163"/>
      <c r="AM278" s="125">
        <f t="shared" si="32"/>
        <v>10</v>
      </c>
      <c r="AN278" s="170">
        <f>70000000+70000000+50000000+80000000+100000000</f>
        <v>370000000</v>
      </c>
    </row>
    <row r="279" spans="1:56" x14ac:dyDescent="0.25">
      <c r="A279" s="366"/>
      <c r="B279" s="369"/>
      <c r="C279" s="122" t="s">
        <v>63</v>
      </c>
      <c r="D279" s="126"/>
      <c r="E279" s="123"/>
      <c r="F279" s="126"/>
      <c r="G279" s="126"/>
      <c r="H279" s="126"/>
      <c r="I279" s="123"/>
      <c r="J279" s="123"/>
      <c r="K279" s="123"/>
      <c r="L279" s="123"/>
      <c r="M279" s="123"/>
      <c r="N279" s="123"/>
      <c r="O279" s="123"/>
      <c r="P279" s="125">
        <f t="shared" si="31"/>
        <v>0</v>
      </c>
      <c r="Q279" s="126"/>
      <c r="R279" s="126"/>
      <c r="S279" s="126"/>
      <c r="T279" s="126"/>
      <c r="U279" s="126"/>
      <c r="V279" s="126"/>
      <c r="W279" s="126"/>
      <c r="X279" s="125">
        <f t="shared" si="29"/>
        <v>0</v>
      </c>
      <c r="Y279" s="126"/>
      <c r="Z279" s="123"/>
      <c r="AA279" s="123"/>
      <c r="AB279" s="123"/>
      <c r="AC279" s="123"/>
      <c r="AD279" s="125">
        <f t="shared" si="30"/>
        <v>0</v>
      </c>
      <c r="AE279" s="123"/>
      <c r="AF279" s="166"/>
      <c r="AG279" s="166"/>
      <c r="AH279" s="123"/>
      <c r="AI279" s="123"/>
      <c r="AJ279" s="123"/>
      <c r="AK279" s="123"/>
      <c r="AL279" s="123"/>
      <c r="AM279" s="125">
        <f t="shared" si="32"/>
        <v>0</v>
      </c>
      <c r="AN279" s="128"/>
    </row>
    <row r="280" spans="1:56" x14ac:dyDescent="0.25">
      <c r="A280" s="366"/>
      <c r="B280" s="369"/>
      <c r="C280" s="122" t="s">
        <v>64</v>
      </c>
      <c r="D280" s="123"/>
      <c r="E280" s="126"/>
      <c r="F280" s="126"/>
      <c r="G280" s="123"/>
      <c r="H280" s="123"/>
      <c r="I280" s="126"/>
      <c r="J280" s="126"/>
      <c r="K280" s="126"/>
      <c r="L280" s="126"/>
      <c r="M280" s="126"/>
      <c r="N280" s="126"/>
      <c r="O280" s="126"/>
      <c r="P280" s="125">
        <f t="shared" si="31"/>
        <v>0</v>
      </c>
      <c r="Q280" s="126"/>
      <c r="R280" s="126"/>
      <c r="S280" s="126"/>
      <c r="T280" s="126"/>
      <c r="U280" s="126"/>
      <c r="V280" s="126"/>
      <c r="W280" s="126"/>
      <c r="X280" s="125">
        <f t="shared" si="29"/>
        <v>0</v>
      </c>
      <c r="Y280" s="126"/>
      <c r="Z280" s="123"/>
      <c r="AA280" s="123"/>
      <c r="AB280" s="123"/>
      <c r="AC280" s="123"/>
      <c r="AD280" s="125">
        <f t="shared" si="30"/>
        <v>0</v>
      </c>
      <c r="AE280" s="126"/>
      <c r="AF280" s="126"/>
      <c r="AG280" s="126"/>
      <c r="AH280" s="126"/>
      <c r="AI280" s="123"/>
      <c r="AJ280" s="123"/>
      <c r="AK280" s="123"/>
      <c r="AL280" s="123"/>
      <c r="AM280" s="125">
        <f t="shared" si="32"/>
        <v>0</v>
      </c>
      <c r="AN280" s="128"/>
    </row>
    <row r="281" spans="1:56" x14ac:dyDescent="0.25">
      <c r="A281" s="366"/>
      <c r="B281" s="369"/>
      <c r="C281" s="140" t="s">
        <v>65</v>
      </c>
      <c r="D281" s="123"/>
      <c r="E281" s="123"/>
      <c r="F281" s="123"/>
      <c r="G281" s="123"/>
      <c r="H281" s="123"/>
      <c r="I281" s="126"/>
      <c r="J281" s="123"/>
      <c r="K281" s="126"/>
      <c r="L281" s="126"/>
      <c r="M281" s="126"/>
      <c r="N281" s="126"/>
      <c r="O281" s="126"/>
      <c r="P281" s="125">
        <f t="shared" si="31"/>
        <v>0</v>
      </c>
      <c r="Q281" s="126"/>
      <c r="R281" s="126"/>
      <c r="S281" s="126"/>
      <c r="T281" s="126"/>
      <c r="U281" s="126"/>
      <c r="V281" s="126"/>
      <c r="W281" s="126"/>
      <c r="X281" s="125">
        <f t="shared" si="29"/>
        <v>0</v>
      </c>
      <c r="Y281" s="123"/>
      <c r="Z281" s="123"/>
      <c r="AA281" s="123"/>
      <c r="AB281" s="123"/>
      <c r="AC281" s="123"/>
      <c r="AD281" s="125">
        <f t="shared" si="30"/>
        <v>0</v>
      </c>
      <c r="AE281" s="123"/>
      <c r="AF281" s="123"/>
      <c r="AG281" s="123"/>
      <c r="AH281" s="123"/>
      <c r="AI281" s="123"/>
      <c r="AJ281" s="123"/>
      <c r="AK281" s="123"/>
      <c r="AL281" s="123"/>
      <c r="AM281" s="125">
        <f t="shared" si="32"/>
        <v>0</v>
      </c>
      <c r="AN281" s="128"/>
    </row>
    <row r="282" spans="1:56" x14ac:dyDescent="0.25">
      <c r="A282" s="366"/>
      <c r="B282" s="369"/>
      <c r="C282" s="147" t="s">
        <v>66</v>
      </c>
      <c r="D282" s="123"/>
      <c r="E282" s="123"/>
      <c r="F282" s="123"/>
      <c r="G282" s="123"/>
      <c r="H282" s="123"/>
      <c r="I282" s="126"/>
      <c r="J282" s="123"/>
      <c r="K282" s="126"/>
      <c r="L282" s="126"/>
      <c r="M282" s="129">
        <v>5</v>
      </c>
      <c r="N282" s="123"/>
      <c r="O282" s="123"/>
      <c r="P282" s="125">
        <f t="shared" si="31"/>
        <v>5</v>
      </c>
      <c r="Q282" s="126"/>
      <c r="R282" s="126"/>
      <c r="S282" s="126"/>
      <c r="T282" s="126"/>
      <c r="U282" s="126"/>
      <c r="V282" s="126"/>
      <c r="W282" s="126"/>
      <c r="X282" s="125">
        <f t="shared" si="29"/>
        <v>0</v>
      </c>
      <c r="Y282" s="123"/>
      <c r="Z282" s="123"/>
      <c r="AA282" s="123"/>
      <c r="AB282" s="123"/>
      <c r="AC282" s="123"/>
      <c r="AD282" s="125">
        <f t="shared" si="30"/>
        <v>0</v>
      </c>
      <c r="AE282" s="123"/>
      <c r="AF282" s="123"/>
      <c r="AG282" s="123"/>
      <c r="AH282" s="123"/>
      <c r="AI282" s="123"/>
      <c r="AJ282" s="123"/>
      <c r="AK282" s="123"/>
      <c r="AL282" s="123"/>
      <c r="AM282" s="125">
        <f t="shared" si="32"/>
        <v>0</v>
      </c>
      <c r="AN282" s="128"/>
    </row>
    <row r="283" spans="1:56" s="217" customFormat="1" x14ac:dyDescent="0.25">
      <c r="A283" s="366"/>
      <c r="B283" s="369"/>
      <c r="C283" s="221" t="s">
        <v>67</v>
      </c>
      <c r="D283" s="214"/>
      <c r="E283" s="214"/>
      <c r="F283" s="214"/>
      <c r="G283" s="214"/>
      <c r="H283" s="214"/>
      <c r="I283" s="222"/>
      <c r="J283" s="214"/>
      <c r="K283" s="222"/>
      <c r="L283" s="222"/>
      <c r="M283" s="222"/>
      <c r="N283" s="222"/>
      <c r="O283" s="222"/>
      <c r="P283" s="215">
        <f t="shared" si="31"/>
        <v>0</v>
      </c>
      <c r="Q283" s="222"/>
      <c r="R283" s="222"/>
      <c r="S283" s="222"/>
      <c r="T283" s="222"/>
      <c r="U283" s="222"/>
      <c r="V283" s="222"/>
      <c r="W283" s="222"/>
      <c r="X283" s="215">
        <f t="shared" si="29"/>
        <v>0</v>
      </c>
      <c r="Y283" s="214"/>
      <c r="Z283" s="214"/>
      <c r="AA283" s="214"/>
      <c r="AB283" s="214"/>
      <c r="AC283" s="214"/>
      <c r="AD283" s="215">
        <f t="shared" si="30"/>
        <v>0</v>
      </c>
      <c r="AE283" s="214"/>
      <c r="AF283" s="214"/>
      <c r="AG283" s="214"/>
      <c r="AH283" s="214"/>
      <c r="AI283" s="214"/>
      <c r="AJ283" s="214"/>
      <c r="AK283" s="214"/>
      <c r="AL283" s="214"/>
      <c r="AM283" s="215">
        <f t="shared" si="32"/>
        <v>0</v>
      </c>
      <c r="AN283" s="216"/>
      <c r="AP283" s="218"/>
      <c r="AQ283" s="218"/>
      <c r="AR283" s="218"/>
      <c r="AS283" s="218"/>
      <c r="AT283" s="218"/>
      <c r="AU283" s="218"/>
      <c r="AV283" s="218"/>
      <c r="AW283" s="218"/>
      <c r="AX283" s="218"/>
      <c r="AY283" s="218"/>
      <c r="AZ283" s="218"/>
      <c r="BA283" s="218"/>
      <c r="BB283" s="218"/>
      <c r="BC283" s="218"/>
      <c r="BD283" s="224"/>
    </row>
    <row r="284" spans="1:56" s="83" customFormat="1" x14ac:dyDescent="0.25">
      <c r="A284" s="365">
        <v>24</v>
      </c>
      <c r="B284" s="368" t="s">
        <v>23</v>
      </c>
      <c r="C284" s="143" t="s">
        <v>56</v>
      </c>
      <c r="D284" s="208">
        <v>1</v>
      </c>
      <c r="E284" s="208">
        <v>1</v>
      </c>
      <c r="F284" s="176"/>
      <c r="G284" s="176"/>
      <c r="H284" s="176"/>
      <c r="I284" s="176"/>
      <c r="J284" s="176"/>
      <c r="K284" s="176"/>
      <c r="L284" s="176"/>
      <c r="M284" s="176"/>
      <c r="N284" s="176"/>
      <c r="O284" s="176"/>
      <c r="P284" s="209">
        <f t="shared" si="31"/>
        <v>2</v>
      </c>
      <c r="Q284" s="208">
        <f>63+554</f>
        <v>617</v>
      </c>
      <c r="R284" s="176"/>
      <c r="S284" s="176"/>
      <c r="T284" s="176"/>
      <c r="U284" s="176"/>
      <c r="V284" s="208">
        <v>1869</v>
      </c>
      <c r="W284" s="208">
        <v>233</v>
      </c>
      <c r="X284" s="209">
        <f t="shared" ref="X284:X295" si="33">SUM(R284:W284)</f>
        <v>2102</v>
      </c>
      <c r="Y284" s="176"/>
      <c r="Z284" s="176"/>
      <c r="AA284" s="176"/>
      <c r="AB284" s="176"/>
      <c r="AC284" s="176"/>
      <c r="AD284" s="209">
        <f t="shared" ref="AD284:AD295" si="34">SUM(Y284:AC284)</f>
        <v>0</v>
      </c>
      <c r="AE284" s="176"/>
      <c r="AF284" s="176"/>
      <c r="AG284" s="176"/>
      <c r="AH284" s="176"/>
      <c r="AI284" s="176"/>
      <c r="AJ284" s="176"/>
      <c r="AK284" s="176"/>
      <c r="AL284" s="176"/>
      <c r="AM284" s="209">
        <f t="shared" si="32"/>
        <v>2102</v>
      </c>
      <c r="AN284" s="219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 s="88"/>
    </row>
    <row r="285" spans="1:56" x14ac:dyDescent="0.25">
      <c r="A285" s="366"/>
      <c r="B285" s="369"/>
      <c r="C285" s="122" t="s">
        <v>57</v>
      </c>
      <c r="D285" s="123"/>
      <c r="E285" s="123"/>
      <c r="F285" s="123"/>
      <c r="G285" s="123"/>
      <c r="H285" s="123"/>
      <c r="I285" s="126"/>
      <c r="J285" s="123"/>
      <c r="K285" s="126"/>
      <c r="L285" s="123"/>
      <c r="M285" s="123"/>
      <c r="N285" s="123"/>
      <c r="O285" s="123"/>
      <c r="P285" s="125">
        <f t="shared" si="31"/>
        <v>0</v>
      </c>
      <c r="Q285" s="126"/>
      <c r="R285" s="126"/>
      <c r="S285" s="126"/>
      <c r="T285" s="126"/>
      <c r="U285" s="126"/>
      <c r="V285" s="126"/>
      <c r="W285" s="126"/>
      <c r="X285" s="125">
        <f t="shared" si="33"/>
        <v>0</v>
      </c>
      <c r="Y285" s="126"/>
      <c r="Z285" s="123"/>
      <c r="AA285" s="123"/>
      <c r="AB285" s="123"/>
      <c r="AC285" s="123"/>
      <c r="AD285" s="125">
        <f t="shared" si="34"/>
        <v>0</v>
      </c>
      <c r="AE285" s="123"/>
      <c r="AF285" s="123">
        <v>0</v>
      </c>
      <c r="AG285" s="123"/>
      <c r="AH285" s="123"/>
      <c r="AI285" s="123"/>
      <c r="AJ285" s="123"/>
      <c r="AK285" s="123"/>
      <c r="AL285" s="123"/>
      <c r="AM285" s="125">
        <f t="shared" si="32"/>
        <v>0</v>
      </c>
      <c r="AN285" s="128"/>
    </row>
    <row r="286" spans="1:56" x14ac:dyDescent="0.25">
      <c r="A286" s="366"/>
      <c r="B286" s="369"/>
      <c r="C286" s="122" t="s">
        <v>58</v>
      </c>
      <c r="D286" s="126"/>
      <c r="E286" s="123"/>
      <c r="F286" s="123"/>
      <c r="G286" s="123"/>
      <c r="H286" s="123"/>
      <c r="I286" s="123"/>
      <c r="J286" s="126"/>
      <c r="K286" s="126"/>
      <c r="L286" s="126"/>
      <c r="M286" s="126"/>
      <c r="N286" s="126"/>
      <c r="O286" s="126"/>
      <c r="P286" s="125">
        <f t="shared" si="31"/>
        <v>0</v>
      </c>
      <c r="Q286" s="126"/>
      <c r="R286" s="126"/>
      <c r="S286" s="126"/>
      <c r="T286" s="126"/>
      <c r="U286" s="126"/>
      <c r="V286" s="126"/>
      <c r="W286" s="126"/>
      <c r="X286" s="125">
        <f t="shared" si="33"/>
        <v>0</v>
      </c>
      <c r="Y286" s="126"/>
      <c r="Z286" s="123"/>
      <c r="AA286" s="123"/>
      <c r="AB286" s="123"/>
      <c r="AC286" s="123"/>
      <c r="AD286" s="125">
        <f t="shared" si="34"/>
        <v>0</v>
      </c>
      <c r="AE286" s="126"/>
      <c r="AF286" s="126"/>
      <c r="AG286" s="123"/>
      <c r="AH286" s="123"/>
      <c r="AI286" s="123"/>
      <c r="AJ286" s="123"/>
      <c r="AK286" s="123"/>
      <c r="AL286" s="123"/>
      <c r="AM286" s="125">
        <f t="shared" si="32"/>
        <v>0</v>
      </c>
      <c r="AN286" s="128"/>
    </row>
    <row r="287" spans="1:56" x14ac:dyDescent="0.25">
      <c r="A287" s="366"/>
      <c r="B287" s="369"/>
      <c r="C287" s="122" t="s">
        <v>59</v>
      </c>
      <c r="D287" s="126"/>
      <c r="E287" s="126"/>
      <c r="F287" s="126"/>
      <c r="G287" s="123"/>
      <c r="H287" s="123"/>
      <c r="I287" s="123"/>
      <c r="J287" s="123"/>
      <c r="K287" s="123"/>
      <c r="L287" s="123"/>
      <c r="M287" s="123"/>
      <c r="N287" s="123"/>
      <c r="O287" s="123"/>
      <c r="P287" s="125">
        <f t="shared" si="31"/>
        <v>0</v>
      </c>
      <c r="Q287" s="126"/>
      <c r="R287" s="126"/>
      <c r="S287" s="126"/>
      <c r="T287" s="126"/>
      <c r="U287" s="126"/>
      <c r="V287" s="126"/>
      <c r="W287" s="126"/>
      <c r="X287" s="125">
        <f t="shared" si="33"/>
        <v>0</v>
      </c>
      <c r="Y287" s="126"/>
      <c r="Z287" s="123"/>
      <c r="AA287" s="123"/>
      <c r="AB287" s="123"/>
      <c r="AC287" s="123"/>
      <c r="AD287" s="125">
        <f t="shared" si="34"/>
        <v>0</v>
      </c>
      <c r="AE287" s="123"/>
      <c r="AF287" s="126"/>
      <c r="AG287" s="123"/>
      <c r="AH287" s="123"/>
      <c r="AI287" s="123"/>
      <c r="AJ287" s="123"/>
      <c r="AK287" s="123"/>
      <c r="AL287" s="123"/>
      <c r="AM287" s="125">
        <f t="shared" si="32"/>
        <v>0</v>
      </c>
      <c r="AN287" s="128"/>
    </row>
    <row r="288" spans="1:56" x14ac:dyDescent="0.25">
      <c r="A288" s="366"/>
      <c r="B288" s="369"/>
      <c r="C288" s="122" t="s">
        <v>60</v>
      </c>
      <c r="D288" s="126"/>
      <c r="E288" s="123"/>
      <c r="F288" s="126"/>
      <c r="G288" s="126"/>
      <c r="H288" s="123"/>
      <c r="I288" s="126"/>
      <c r="J288" s="123"/>
      <c r="K288" s="126"/>
      <c r="L288" s="126"/>
      <c r="M288" s="126"/>
      <c r="N288" s="126"/>
      <c r="O288" s="126"/>
      <c r="P288" s="125">
        <f t="shared" si="31"/>
        <v>0</v>
      </c>
      <c r="Q288" s="126"/>
      <c r="R288" s="126"/>
      <c r="S288" s="126"/>
      <c r="T288" s="126"/>
      <c r="U288" s="126"/>
      <c r="V288" s="126"/>
      <c r="W288" s="126"/>
      <c r="X288" s="125">
        <f t="shared" si="33"/>
        <v>0</v>
      </c>
      <c r="Y288" s="126"/>
      <c r="Z288" s="123"/>
      <c r="AA288" s="123"/>
      <c r="AB288" s="123"/>
      <c r="AC288" s="123"/>
      <c r="AD288" s="125">
        <f t="shared" si="34"/>
        <v>0</v>
      </c>
      <c r="AE288" s="123"/>
      <c r="AF288" s="126"/>
      <c r="AG288" s="123"/>
      <c r="AH288" s="123"/>
      <c r="AI288" s="123"/>
      <c r="AJ288" s="123"/>
      <c r="AK288" s="123"/>
      <c r="AL288" s="123"/>
      <c r="AM288" s="125">
        <f t="shared" si="32"/>
        <v>0</v>
      </c>
      <c r="AN288" s="128"/>
    </row>
    <row r="289" spans="1:40" x14ac:dyDescent="0.25">
      <c r="A289" s="366"/>
      <c r="B289" s="369"/>
      <c r="C289" s="122" t="s">
        <v>61</v>
      </c>
      <c r="D289" s="123"/>
      <c r="E289" s="126"/>
      <c r="F289" s="123"/>
      <c r="G289" s="126"/>
      <c r="H289" s="123"/>
      <c r="I289" s="123"/>
      <c r="J289" s="126"/>
      <c r="K289" s="126"/>
      <c r="L289" s="126"/>
      <c r="M289" s="126"/>
      <c r="N289" s="126"/>
      <c r="O289" s="126"/>
      <c r="P289" s="125">
        <f t="shared" si="31"/>
        <v>0</v>
      </c>
      <c r="Q289" s="126"/>
      <c r="R289" s="126"/>
      <c r="S289" s="126"/>
      <c r="T289" s="126"/>
      <c r="U289" s="126"/>
      <c r="V289" s="126"/>
      <c r="W289" s="126"/>
      <c r="X289" s="125">
        <f t="shared" si="33"/>
        <v>0</v>
      </c>
      <c r="Y289" s="126"/>
      <c r="Z289" s="123"/>
      <c r="AA289" s="123"/>
      <c r="AB289" s="123"/>
      <c r="AC289" s="123"/>
      <c r="AD289" s="125">
        <f t="shared" si="34"/>
        <v>0</v>
      </c>
      <c r="AE289" s="123"/>
      <c r="AF289" s="126"/>
      <c r="AG289" s="126"/>
      <c r="AH289" s="123"/>
      <c r="AI289" s="123"/>
      <c r="AJ289" s="123"/>
      <c r="AK289" s="123"/>
      <c r="AL289" s="123"/>
      <c r="AM289" s="125">
        <f t="shared" si="32"/>
        <v>0</v>
      </c>
      <c r="AN289" s="128"/>
    </row>
    <row r="290" spans="1:40" x14ac:dyDescent="0.25">
      <c r="A290" s="366"/>
      <c r="B290" s="369"/>
      <c r="C290" s="122" t="s">
        <v>62</v>
      </c>
      <c r="D290" s="129">
        <v>2</v>
      </c>
      <c r="E290" s="123"/>
      <c r="F290" s="129">
        <v>2</v>
      </c>
      <c r="G290" s="129">
        <v>2</v>
      </c>
      <c r="H290" s="123"/>
      <c r="I290" s="129">
        <v>4</v>
      </c>
      <c r="J290" s="123"/>
      <c r="K290" s="129">
        <v>2</v>
      </c>
      <c r="L290" s="129">
        <v>3</v>
      </c>
      <c r="M290" s="129">
        <v>7</v>
      </c>
      <c r="N290" s="129">
        <v>1</v>
      </c>
      <c r="O290" s="129">
        <v>1</v>
      </c>
      <c r="P290" s="125">
        <f t="shared" si="31"/>
        <v>24</v>
      </c>
      <c r="Q290" s="129">
        <f>17+1+14+42+15+13+71+17+4</f>
        <v>194</v>
      </c>
      <c r="R290" s="129">
        <v>2</v>
      </c>
      <c r="S290" s="129">
        <f>1+5+8+1</f>
        <v>15</v>
      </c>
      <c r="T290" s="123"/>
      <c r="U290" s="123"/>
      <c r="V290" s="129">
        <f>78+3+23+164+60+49+201+67+12</f>
        <v>657</v>
      </c>
      <c r="W290" s="123"/>
      <c r="X290" s="125">
        <f t="shared" si="33"/>
        <v>674</v>
      </c>
      <c r="Y290" s="129">
        <f>10+10+14+36+9+13+48+13+1</f>
        <v>154</v>
      </c>
      <c r="Z290" s="123"/>
      <c r="AA290" s="123"/>
      <c r="AB290" s="123"/>
      <c r="AC290" s="123"/>
      <c r="AD290" s="125">
        <f t="shared" si="34"/>
        <v>154</v>
      </c>
      <c r="AE290" s="166"/>
      <c r="AF290" s="123"/>
      <c r="AG290" s="166"/>
      <c r="AH290" s="166"/>
      <c r="AI290" s="123"/>
      <c r="AJ290" s="129">
        <v>1</v>
      </c>
      <c r="AK290" s="166"/>
      <c r="AL290" s="166"/>
      <c r="AM290" s="125">
        <f t="shared" si="32"/>
        <v>828</v>
      </c>
      <c r="AN290" s="138">
        <v>100000000</v>
      </c>
    </row>
    <row r="291" spans="1:40" x14ac:dyDescent="0.25">
      <c r="A291" s="366"/>
      <c r="B291" s="369"/>
      <c r="C291" s="122" t="s">
        <v>63</v>
      </c>
      <c r="D291" s="129">
        <v>1</v>
      </c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5">
        <f t="shared" si="31"/>
        <v>1</v>
      </c>
      <c r="Q291" s="129">
        <v>183</v>
      </c>
      <c r="R291" s="123"/>
      <c r="S291" s="123"/>
      <c r="T291" s="123"/>
      <c r="U291" s="123"/>
      <c r="V291" s="129">
        <v>324</v>
      </c>
      <c r="W291" s="129">
        <v>26</v>
      </c>
      <c r="X291" s="125">
        <f t="shared" si="33"/>
        <v>350</v>
      </c>
      <c r="Y291" s="129">
        <v>183</v>
      </c>
      <c r="Z291" s="123"/>
      <c r="AA291" s="123"/>
      <c r="AB291" s="123"/>
      <c r="AC291" s="123"/>
      <c r="AD291" s="125">
        <f t="shared" si="34"/>
        <v>183</v>
      </c>
      <c r="AE291" s="166"/>
      <c r="AF291" s="123"/>
      <c r="AG291" s="166"/>
      <c r="AH291" s="166"/>
      <c r="AI291" s="123"/>
      <c r="AJ291" s="123"/>
      <c r="AK291" s="166"/>
      <c r="AL291" s="166"/>
      <c r="AM291" s="125">
        <f t="shared" si="32"/>
        <v>533</v>
      </c>
      <c r="AN291" s="128"/>
    </row>
    <row r="292" spans="1:40" x14ac:dyDescent="0.25">
      <c r="A292" s="366"/>
      <c r="B292" s="369"/>
      <c r="C292" s="122" t="s">
        <v>64</v>
      </c>
      <c r="D292" s="123"/>
      <c r="E292" s="126"/>
      <c r="F292" s="126"/>
      <c r="G292" s="126"/>
      <c r="H292" s="123"/>
      <c r="I292" s="123"/>
      <c r="J292" s="126"/>
      <c r="K292" s="126"/>
      <c r="L292" s="126"/>
      <c r="M292" s="126"/>
      <c r="N292" s="126"/>
      <c r="O292" s="126"/>
      <c r="P292" s="125">
        <f t="shared" si="31"/>
        <v>0</v>
      </c>
      <c r="Q292" s="126"/>
      <c r="R292" s="126"/>
      <c r="S292" s="126"/>
      <c r="T292" s="126"/>
      <c r="U292" s="126"/>
      <c r="V292" s="126"/>
      <c r="W292" s="126"/>
      <c r="X292" s="125">
        <f t="shared" si="33"/>
        <v>0</v>
      </c>
      <c r="Y292" s="123"/>
      <c r="Z292" s="123"/>
      <c r="AA292" s="123"/>
      <c r="AB292" s="123"/>
      <c r="AC292" s="123"/>
      <c r="AD292" s="125">
        <f t="shared" si="34"/>
        <v>0</v>
      </c>
      <c r="AE292" s="166"/>
      <c r="AF292" s="126"/>
      <c r="AG292" s="166"/>
      <c r="AH292" s="166"/>
      <c r="AI292" s="123"/>
      <c r="AJ292" s="123"/>
      <c r="AK292" s="166"/>
      <c r="AL292" s="166"/>
      <c r="AM292" s="125">
        <f t="shared" si="32"/>
        <v>0</v>
      </c>
      <c r="AN292" s="128"/>
    </row>
    <row r="293" spans="1:40" x14ac:dyDescent="0.25">
      <c r="A293" s="366"/>
      <c r="B293" s="369"/>
      <c r="C293" s="140" t="s">
        <v>65</v>
      </c>
      <c r="D293" s="123"/>
      <c r="E293" s="123"/>
      <c r="F293" s="123"/>
      <c r="G293" s="123"/>
      <c r="H293" s="123"/>
      <c r="I293" s="123"/>
      <c r="J293" s="126"/>
      <c r="K293" s="126"/>
      <c r="L293" s="126"/>
      <c r="M293" s="126"/>
      <c r="N293" s="126"/>
      <c r="O293" s="126"/>
      <c r="P293" s="125">
        <f t="shared" si="31"/>
        <v>0</v>
      </c>
      <c r="Q293" s="126"/>
      <c r="R293" s="126"/>
      <c r="S293" s="126"/>
      <c r="T293" s="126"/>
      <c r="U293" s="126"/>
      <c r="V293" s="126"/>
      <c r="W293" s="126"/>
      <c r="X293" s="125">
        <f t="shared" si="33"/>
        <v>0</v>
      </c>
      <c r="Y293" s="126"/>
      <c r="Z293" s="123"/>
      <c r="AA293" s="123"/>
      <c r="AB293" s="123"/>
      <c r="AC293" s="123"/>
      <c r="AD293" s="125">
        <f t="shared" si="34"/>
        <v>0</v>
      </c>
      <c r="AE293" s="166"/>
      <c r="AF293" s="126"/>
      <c r="AG293" s="166"/>
      <c r="AH293" s="166"/>
      <c r="AI293" s="123"/>
      <c r="AJ293" s="123"/>
      <c r="AK293" s="166"/>
      <c r="AL293" s="166"/>
      <c r="AM293" s="125">
        <f t="shared" si="32"/>
        <v>0</v>
      </c>
      <c r="AN293" s="128"/>
    </row>
    <row r="294" spans="1:40" x14ac:dyDescent="0.25">
      <c r="A294" s="366"/>
      <c r="B294" s="369"/>
      <c r="C294" s="147" t="s">
        <v>66</v>
      </c>
      <c r="D294" s="123"/>
      <c r="E294" s="123"/>
      <c r="F294" s="123"/>
      <c r="G294" s="123"/>
      <c r="H294" s="123"/>
      <c r="I294" s="123"/>
      <c r="J294" s="126"/>
      <c r="K294" s="126"/>
      <c r="L294" s="126"/>
      <c r="M294" s="126"/>
      <c r="N294" s="126"/>
      <c r="O294" s="126"/>
      <c r="P294" s="125">
        <f t="shared" si="31"/>
        <v>0</v>
      </c>
      <c r="Q294" s="126"/>
      <c r="R294" s="126"/>
      <c r="S294" s="126"/>
      <c r="T294" s="126"/>
      <c r="U294" s="126"/>
      <c r="V294" s="126"/>
      <c r="W294" s="126"/>
      <c r="X294" s="125">
        <f t="shared" si="33"/>
        <v>0</v>
      </c>
      <c r="Y294" s="126"/>
      <c r="Z294" s="123"/>
      <c r="AA294" s="123"/>
      <c r="AB294" s="123"/>
      <c r="AC294" s="123"/>
      <c r="AD294" s="125">
        <f t="shared" si="34"/>
        <v>0</v>
      </c>
      <c r="AE294" s="166"/>
      <c r="AF294" s="126"/>
      <c r="AG294" s="166"/>
      <c r="AH294" s="166"/>
      <c r="AI294" s="123"/>
      <c r="AJ294" s="123"/>
      <c r="AK294" s="166"/>
      <c r="AL294" s="166"/>
      <c r="AM294" s="125">
        <f t="shared" si="32"/>
        <v>0</v>
      </c>
      <c r="AN294" s="128"/>
    </row>
    <row r="295" spans="1:40" ht="15.75" thickBot="1" x14ac:dyDescent="0.3">
      <c r="A295" s="371"/>
      <c r="B295" s="372"/>
      <c r="C295" s="171" t="s">
        <v>67</v>
      </c>
      <c r="D295" s="123"/>
      <c r="E295" s="123"/>
      <c r="F295" s="123"/>
      <c r="G295" s="123"/>
      <c r="H295" s="123"/>
      <c r="I295" s="123"/>
      <c r="J295" s="126"/>
      <c r="K295" s="126"/>
      <c r="L295" s="129">
        <v>3</v>
      </c>
      <c r="M295" s="129">
        <v>1</v>
      </c>
      <c r="N295" s="129">
        <v>1</v>
      </c>
      <c r="O295" s="123"/>
      <c r="P295" s="125">
        <f t="shared" si="31"/>
        <v>5</v>
      </c>
      <c r="Q295" s="129">
        <f>91136+37512+65106</f>
        <v>193754</v>
      </c>
      <c r="R295" s="126"/>
      <c r="S295" s="126"/>
      <c r="T295" s="126"/>
      <c r="U295" s="126"/>
      <c r="V295" s="129">
        <f>273777+125466+219410</f>
        <v>618653</v>
      </c>
      <c r="W295" s="126"/>
      <c r="X295" s="125">
        <f t="shared" si="33"/>
        <v>618653</v>
      </c>
      <c r="Y295" s="126"/>
      <c r="Z295" s="123"/>
      <c r="AA295" s="123"/>
      <c r="AB295" s="123"/>
      <c r="AC295" s="123"/>
      <c r="AD295" s="125">
        <f t="shared" si="34"/>
        <v>0</v>
      </c>
      <c r="AE295" s="166"/>
      <c r="AF295" s="126"/>
      <c r="AG295" s="166"/>
      <c r="AH295" s="166"/>
      <c r="AI295" s="123"/>
      <c r="AJ295" s="123"/>
      <c r="AK295" s="166"/>
      <c r="AL295" s="166"/>
      <c r="AM295" s="125">
        <f t="shared" si="32"/>
        <v>618653</v>
      </c>
      <c r="AN295" s="128"/>
    </row>
    <row r="296" spans="1:40" ht="16.5" thickTop="1" thickBot="1" x14ac:dyDescent="0.3">
      <c r="A296" s="373" t="s">
        <v>187</v>
      </c>
      <c r="B296" s="374"/>
      <c r="C296" s="375"/>
      <c r="D296" s="172">
        <f t="shared" ref="D296:AM296" si="35">SUM(D8:D295)</f>
        <v>73</v>
      </c>
      <c r="E296" s="172">
        <f t="shared" si="35"/>
        <v>118</v>
      </c>
      <c r="F296" s="172">
        <f t="shared" si="35"/>
        <v>53</v>
      </c>
      <c r="G296" s="172">
        <f t="shared" si="35"/>
        <v>57</v>
      </c>
      <c r="H296" s="172">
        <f t="shared" si="35"/>
        <v>58</v>
      </c>
      <c r="I296" s="172">
        <f t="shared" si="35"/>
        <v>47</v>
      </c>
      <c r="J296" s="172">
        <f>SUM(J8:J295)</f>
        <v>58</v>
      </c>
      <c r="K296" s="172">
        <f t="shared" si="35"/>
        <v>87</v>
      </c>
      <c r="L296" s="172">
        <f t="shared" si="35"/>
        <v>155</v>
      </c>
      <c r="M296" s="172">
        <f>SUM(M8:M295)</f>
        <v>171</v>
      </c>
      <c r="N296" s="172">
        <f>SUM(N8:N295)</f>
        <v>60</v>
      </c>
      <c r="O296" s="172">
        <f>SUM(O8:O295)</f>
        <v>43</v>
      </c>
      <c r="P296" s="172">
        <f>SUM(P8:P295)</f>
        <v>980</v>
      </c>
      <c r="Q296" s="172">
        <f t="shared" si="35"/>
        <v>231698</v>
      </c>
      <c r="R296" s="172">
        <f t="shared" si="35"/>
        <v>19</v>
      </c>
      <c r="S296" s="172">
        <f t="shared" si="35"/>
        <v>31</v>
      </c>
      <c r="T296" s="172">
        <f t="shared" si="35"/>
        <v>0</v>
      </c>
      <c r="U296" s="172">
        <f t="shared" si="35"/>
        <v>0</v>
      </c>
      <c r="V296" s="172">
        <f t="shared" si="35"/>
        <v>798538</v>
      </c>
      <c r="W296" s="172">
        <f t="shared" si="35"/>
        <v>990</v>
      </c>
      <c r="X296" s="172">
        <f t="shared" si="35"/>
        <v>799578</v>
      </c>
      <c r="Y296" s="172">
        <f t="shared" si="35"/>
        <v>14787</v>
      </c>
      <c r="Z296" s="172">
        <f t="shared" si="35"/>
        <v>84</v>
      </c>
      <c r="AA296" s="172">
        <f t="shared" si="35"/>
        <v>60</v>
      </c>
      <c r="AB296" s="172">
        <f t="shared" si="35"/>
        <v>22</v>
      </c>
      <c r="AC296" s="172">
        <f t="shared" si="35"/>
        <v>13</v>
      </c>
      <c r="AD296" s="172">
        <f t="shared" si="35"/>
        <v>14966</v>
      </c>
      <c r="AE296" s="172">
        <f t="shared" si="35"/>
        <v>6306.5</v>
      </c>
      <c r="AF296" s="172">
        <f t="shared" si="35"/>
        <v>28146.98</v>
      </c>
      <c r="AG296" s="172">
        <f t="shared" si="35"/>
        <v>1001</v>
      </c>
      <c r="AH296" s="172">
        <f t="shared" si="35"/>
        <v>16300</v>
      </c>
      <c r="AI296" s="172">
        <f t="shared" si="35"/>
        <v>11</v>
      </c>
      <c r="AJ296" s="172">
        <f t="shared" si="35"/>
        <v>36</v>
      </c>
      <c r="AK296" s="172">
        <f t="shared" si="35"/>
        <v>5</v>
      </c>
      <c r="AL296" s="172">
        <f t="shared" si="35"/>
        <v>0</v>
      </c>
      <c r="AM296" s="172">
        <f t="shared" si="35"/>
        <v>814544</v>
      </c>
      <c r="AN296" s="173">
        <f>SUM(AN8:AN295)</f>
        <v>168875255940</v>
      </c>
    </row>
    <row r="297" spans="1:40" ht="15.75" thickTop="1" x14ac:dyDescent="0.25">
      <c r="A297" s="174"/>
      <c r="B297" s="174"/>
    </row>
    <row r="298" spans="1:40" x14ac:dyDescent="0.25">
      <c r="A298"/>
      <c r="B298"/>
    </row>
    <row r="299" spans="1:40" x14ac:dyDescent="0.25">
      <c r="A299"/>
      <c r="B299"/>
    </row>
    <row r="300" spans="1:40" x14ac:dyDescent="0.25">
      <c r="A300"/>
      <c r="B300"/>
    </row>
    <row r="301" spans="1:40" x14ac:dyDescent="0.25">
      <c r="A301"/>
      <c r="B301"/>
    </row>
    <row r="302" spans="1:40" x14ac:dyDescent="0.25">
      <c r="A302"/>
      <c r="B302"/>
    </row>
    <row r="303" spans="1:40" x14ac:dyDescent="0.25">
      <c r="A303"/>
      <c r="B303"/>
    </row>
    <row r="304" spans="1:40" x14ac:dyDescent="0.25">
      <c r="A304"/>
      <c r="B304"/>
    </row>
    <row r="305" spans="40:56" customFormat="1" x14ac:dyDescent="0.25">
      <c r="AN305" s="88"/>
      <c r="AO305" s="83"/>
      <c r="BD305" s="88"/>
    </row>
    <row r="306" spans="40:56" customFormat="1" x14ac:dyDescent="0.25">
      <c r="AN306" s="88"/>
      <c r="AO306" s="83"/>
      <c r="BD306" s="88"/>
    </row>
    <row r="307" spans="40:56" customFormat="1" x14ac:dyDescent="0.25">
      <c r="AN307" s="88"/>
      <c r="AO307" s="83"/>
      <c r="BD307" s="88"/>
    </row>
    <row r="308" spans="40:56" customFormat="1" x14ac:dyDescent="0.25">
      <c r="AN308" s="88"/>
      <c r="AO308" s="83"/>
      <c r="BD308" s="88"/>
    </row>
    <row r="309" spans="40:56" customFormat="1" x14ac:dyDescent="0.25">
      <c r="AN309" s="88"/>
      <c r="AO309" s="83"/>
      <c r="BD309" s="88"/>
    </row>
    <row r="310" spans="40:56" customFormat="1" x14ac:dyDescent="0.25">
      <c r="AN310" s="88"/>
      <c r="AO310" s="83"/>
      <c r="BD310" s="88"/>
    </row>
    <row r="311" spans="40:56" customFormat="1" x14ac:dyDescent="0.25">
      <c r="AN311" s="88"/>
      <c r="AO311" s="83"/>
      <c r="BD311" s="88"/>
    </row>
    <row r="312" spans="40:56" customFormat="1" x14ac:dyDescent="0.25">
      <c r="AN312" s="88"/>
      <c r="AO312" s="83"/>
      <c r="BD312" s="88"/>
    </row>
    <row r="313" spans="40:56" customFormat="1" x14ac:dyDescent="0.25">
      <c r="AN313" s="88"/>
      <c r="AO313" s="83"/>
      <c r="BD313" s="88"/>
    </row>
    <row r="314" spans="40:56" customFormat="1" x14ac:dyDescent="0.25">
      <c r="AN314" s="88"/>
      <c r="AO314" s="83"/>
      <c r="BD314" s="88"/>
    </row>
    <row r="315" spans="40:56" customFormat="1" x14ac:dyDescent="0.25">
      <c r="AN315" s="88"/>
      <c r="AO315" s="83"/>
      <c r="BD315" s="88"/>
    </row>
    <row r="316" spans="40:56" customFormat="1" x14ac:dyDescent="0.25">
      <c r="AN316" s="88"/>
      <c r="AO316" s="83"/>
      <c r="BD316" s="88"/>
    </row>
    <row r="317" spans="40:56" customFormat="1" x14ac:dyDescent="0.25">
      <c r="AN317" s="88"/>
      <c r="AO317" s="83"/>
      <c r="BD317" s="88"/>
    </row>
    <row r="318" spans="40:56" customFormat="1" x14ac:dyDescent="0.25">
      <c r="AN318" s="88"/>
      <c r="AO318" s="83"/>
      <c r="BD318" s="88"/>
    </row>
    <row r="319" spans="40:56" customFormat="1" x14ac:dyDescent="0.25">
      <c r="AN319" s="88"/>
      <c r="AO319" s="83"/>
      <c r="BD319" s="88"/>
    </row>
    <row r="320" spans="40:56" customFormat="1" x14ac:dyDescent="0.25">
      <c r="AN320" s="88"/>
      <c r="AO320" s="83"/>
      <c r="BD320" s="88"/>
    </row>
    <row r="321" spans="40:56" customFormat="1" x14ac:dyDescent="0.25">
      <c r="AN321" s="88"/>
      <c r="AO321" s="83"/>
      <c r="BD321" s="88"/>
    </row>
    <row r="322" spans="40:56" customFormat="1" x14ac:dyDescent="0.25">
      <c r="AN322" s="88"/>
      <c r="AO322" s="83"/>
      <c r="BD322" s="88"/>
    </row>
    <row r="323" spans="40:56" customFormat="1" x14ac:dyDescent="0.25">
      <c r="AN323" s="88"/>
      <c r="AO323" s="83"/>
      <c r="BD323" s="88"/>
    </row>
    <row r="324" spans="40:56" customFormat="1" x14ac:dyDescent="0.25">
      <c r="AN324" s="88"/>
      <c r="AO324" s="83"/>
      <c r="BD324" s="88"/>
    </row>
    <row r="325" spans="40:56" customFormat="1" x14ac:dyDescent="0.25">
      <c r="AN325" s="88"/>
      <c r="AO325" s="83"/>
      <c r="BD325" s="88"/>
    </row>
    <row r="326" spans="40:56" customFormat="1" x14ac:dyDescent="0.25">
      <c r="AN326" s="88"/>
      <c r="AO326" s="83"/>
      <c r="BD326" s="88"/>
    </row>
    <row r="327" spans="40:56" customFormat="1" x14ac:dyDescent="0.25">
      <c r="AN327" s="88"/>
      <c r="AO327" s="83"/>
      <c r="BD327" s="88"/>
    </row>
    <row r="328" spans="40:56" customFormat="1" x14ac:dyDescent="0.25">
      <c r="AN328" s="88"/>
      <c r="AO328" s="83"/>
      <c r="BD328" s="88"/>
    </row>
    <row r="329" spans="40:56" customFormat="1" x14ac:dyDescent="0.25">
      <c r="AN329" s="88"/>
      <c r="AO329" s="83"/>
      <c r="BD329" s="88"/>
    </row>
    <row r="330" spans="40:56" customFormat="1" x14ac:dyDescent="0.25">
      <c r="AN330" s="88"/>
      <c r="AO330" s="83"/>
      <c r="BD330" s="88"/>
    </row>
    <row r="331" spans="40:56" customFormat="1" x14ac:dyDescent="0.25">
      <c r="AN331" s="88"/>
      <c r="AO331" s="83"/>
      <c r="BD331" s="88"/>
    </row>
    <row r="332" spans="40:56" customFormat="1" x14ac:dyDescent="0.25">
      <c r="AN332" s="88"/>
      <c r="AO332" s="83"/>
      <c r="BD332" s="88"/>
    </row>
    <row r="333" spans="40:56" customFormat="1" x14ac:dyDescent="0.25">
      <c r="AN333" s="88"/>
      <c r="AO333" s="83"/>
      <c r="BD333" s="88"/>
    </row>
    <row r="334" spans="40:56" customFormat="1" x14ac:dyDescent="0.25">
      <c r="AN334" s="88"/>
      <c r="AO334" s="83"/>
      <c r="BD334" s="88"/>
    </row>
    <row r="335" spans="40:56" customFormat="1" x14ac:dyDescent="0.25">
      <c r="AN335" s="88"/>
      <c r="AO335" s="83"/>
      <c r="BD335" s="88"/>
    </row>
    <row r="336" spans="40:56" customFormat="1" x14ac:dyDescent="0.25">
      <c r="AN336" s="88"/>
      <c r="AO336" s="83"/>
      <c r="BD336" s="88"/>
    </row>
    <row r="337" spans="40:56" customFormat="1" x14ac:dyDescent="0.25">
      <c r="AN337" s="88"/>
      <c r="AO337" s="83"/>
      <c r="BD337" s="88"/>
    </row>
    <row r="338" spans="40:56" customFormat="1" x14ac:dyDescent="0.25">
      <c r="AN338" s="88"/>
      <c r="AO338" s="83"/>
      <c r="BD338" s="88"/>
    </row>
    <row r="339" spans="40:56" customFormat="1" x14ac:dyDescent="0.25">
      <c r="AN339" s="88"/>
      <c r="AO339" s="83"/>
      <c r="BD339" s="88"/>
    </row>
    <row r="340" spans="40:56" customFormat="1" x14ac:dyDescent="0.25">
      <c r="AN340" s="88"/>
      <c r="AO340" s="83"/>
      <c r="BD340" s="88"/>
    </row>
    <row r="341" spans="40:56" customFormat="1" x14ac:dyDescent="0.25">
      <c r="AN341" s="88"/>
      <c r="AO341" s="83"/>
      <c r="BD341" s="88"/>
    </row>
    <row r="342" spans="40:56" customFormat="1" x14ac:dyDescent="0.25">
      <c r="AN342" s="88"/>
      <c r="AO342" s="83"/>
      <c r="BD342" s="88"/>
    </row>
    <row r="343" spans="40:56" customFormat="1" x14ac:dyDescent="0.25">
      <c r="AN343" s="88"/>
      <c r="AO343" s="83"/>
      <c r="BD343" s="88"/>
    </row>
    <row r="344" spans="40:56" customFormat="1" x14ac:dyDescent="0.25">
      <c r="AN344" s="88"/>
      <c r="AO344" s="83"/>
      <c r="BD344" s="88"/>
    </row>
    <row r="345" spans="40:56" customFormat="1" x14ac:dyDescent="0.25">
      <c r="AN345" s="88"/>
      <c r="AO345" s="83"/>
      <c r="BD345" s="88"/>
    </row>
    <row r="346" spans="40:56" customFormat="1" x14ac:dyDescent="0.25">
      <c r="AN346" s="88"/>
      <c r="AO346" s="83"/>
      <c r="BD346" s="88"/>
    </row>
    <row r="347" spans="40:56" customFormat="1" x14ac:dyDescent="0.25">
      <c r="AN347" s="88"/>
      <c r="AO347" s="83"/>
      <c r="BD347" s="88"/>
    </row>
  </sheetData>
  <autoFilter ref="A6:BD299" xr:uid="{00000000-0009-0000-0000-000006000000}"/>
  <mergeCells count="88">
    <mergeCell ref="A272:A283"/>
    <mergeCell ref="B272:B283"/>
    <mergeCell ref="A284:A295"/>
    <mergeCell ref="B284:B295"/>
    <mergeCell ref="A296:C296"/>
    <mergeCell ref="A236:A247"/>
    <mergeCell ref="B236:B247"/>
    <mergeCell ref="A248:A259"/>
    <mergeCell ref="B248:B259"/>
    <mergeCell ref="A260:A271"/>
    <mergeCell ref="B260:B271"/>
    <mergeCell ref="A200:A211"/>
    <mergeCell ref="B200:B211"/>
    <mergeCell ref="A212:A223"/>
    <mergeCell ref="B212:B223"/>
    <mergeCell ref="A224:A235"/>
    <mergeCell ref="B224:B235"/>
    <mergeCell ref="A164:A175"/>
    <mergeCell ref="B164:B175"/>
    <mergeCell ref="A176:A187"/>
    <mergeCell ref="B176:B187"/>
    <mergeCell ref="A188:A199"/>
    <mergeCell ref="B188:B199"/>
    <mergeCell ref="A128:A139"/>
    <mergeCell ref="B128:B139"/>
    <mergeCell ref="A140:A151"/>
    <mergeCell ref="B140:B151"/>
    <mergeCell ref="A152:A163"/>
    <mergeCell ref="B152:B163"/>
    <mergeCell ref="A92:A103"/>
    <mergeCell ref="B92:B103"/>
    <mergeCell ref="A104:A115"/>
    <mergeCell ref="B104:B115"/>
    <mergeCell ref="A116:A127"/>
    <mergeCell ref="B116:B127"/>
    <mergeCell ref="A56:A67"/>
    <mergeCell ref="B56:B67"/>
    <mergeCell ref="A68:A79"/>
    <mergeCell ref="B68:B79"/>
    <mergeCell ref="A80:A91"/>
    <mergeCell ref="B80:B91"/>
    <mergeCell ref="A20:A31"/>
    <mergeCell ref="B20:B31"/>
    <mergeCell ref="A32:A43"/>
    <mergeCell ref="B32:B43"/>
    <mergeCell ref="A44:A55"/>
    <mergeCell ref="B44:B55"/>
    <mergeCell ref="AZ4:AZ6"/>
    <mergeCell ref="BA4:BA6"/>
    <mergeCell ref="BB4:BB6"/>
    <mergeCell ref="BC4:BC6"/>
    <mergeCell ref="BD4:BD6"/>
    <mergeCell ref="AT4:AT6"/>
    <mergeCell ref="AU4:AU6"/>
    <mergeCell ref="AV4:AV6"/>
    <mergeCell ref="AG4:AG5"/>
    <mergeCell ref="AH4:AH5"/>
    <mergeCell ref="AI4:AI5"/>
    <mergeCell ref="AJ4:AJ5"/>
    <mergeCell ref="AK4:AK5"/>
    <mergeCell ref="AL4:AL5"/>
    <mergeCell ref="AP4:AP6"/>
    <mergeCell ref="AQ4:AQ6"/>
    <mergeCell ref="AR4:AR6"/>
    <mergeCell ref="AS4:AS6"/>
    <mergeCell ref="AM4:AM6"/>
    <mergeCell ref="AN4:AN5"/>
    <mergeCell ref="A8:A19"/>
    <mergeCell ref="B8:B19"/>
    <mergeCell ref="R4:W4"/>
    <mergeCell ref="X4:X5"/>
    <mergeCell ref="Y4:AC4"/>
    <mergeCell ref="AD4:AD5"/>
    <mergeCell ref="AE4:AE5"/>
    <mergeCell ref="AF4:AF5"/>
    <mergeCell ref="A1:AN1"/>
    <mergeCell ref="AP1:BD1"/>
    <mergeCell ref="A2:AN2"/>
    <mergeCell ref="AP2:BD2"/>
    <mergeCell ref="A4:A6"/>
    <mergeCell ref="B4:B6"/>
    <mergeCell ref="C4:C6"/>
    <mergeCell ref="D4:O4"/>
    <mergeCell ref="P4:P5"/>
    <mergeCell ref="Q4:Q5"/>
    <mergeCell ref="AW4:AW6"/>
    <mergeCell ref="AX4:AX6"/>
    <mergeCell ref="AY4:AY6"/>
  </mergeCells>
  <pageMargins left="0.23622047244094491" right="0.23622047244094491" top="0.74803149606299213" bottom="0.74803149606299213" header="0.31496062992125984" footer="0.31496062992125984"/>
  <pageSetup paperSize="5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A109-F57C-4CC1-B522-9B0025D675FB}">
  <dimension ref="B1:Q320"/>
  <sheetViews>
    <sheetView topLeftCell="A134" zoomScaleNormal="100" workbookViewId="0">
      <selection activeCell="G338" sqref="G338"/>
    </sheetView>
  </sheetViews>
  <sheetFormatPr defaultRowHeight="15" x14ac:dyDescent="0.25"/>
  <cols>
    <col min="2" max="2" width="6.42578125" customWidth="1"/>
    <col min="3" max="3" width="12.140625" bestFit="1" customWidth="1"/>
    <col min="4" max="4" width="19.5703125" bestFit="1" customWidth="1"/>
    <col min="6" max="6" width="11.85546875" customWidth="1"/>
    <col min="8" max="8" width="11.7109375" customWidth="1"/>
    <col min="9" max="9" width="13.5703125" customWidth="1"/>
  </cols>
  <sheetData>
    <row r="1" spans="2:17" x14ac:dyDescent="0.25">
      <c r="B1" s="399" t="s">
        <v>108</v>
      </c>
      <c r="C1" s="399"/>
      <c r="D1" s="399"/>
      <c r="E1" s="399"/>
      <c r="F1" s="399"/>
      <c r="G1" s="399"/>
      <c r="H1" s="399"/>
      <c r="I1" s="399"/>
    </row>
    <row r="2" spans="2:17" x14ac:dyDescent="0.25">
      <c r="B2" s="399" t="s">
        <v>0</v>
      </c>
      <c r="C2" s="399"/>
      <c r="D2" s="399"/>
      <c r="E2" s="399"/>
      <c r="F2" s="399"/>
      <c r="G2" s="399"/>
      <c r="H2" s="399"/>
      <c r="I2" s="399"/>
    </row>
    <row r="3" spans="2:17" ht="15.75" thickBot="1" x14ac:dyDescent="0.3"/>
    <row r="4" spans="2:17" ht="15.75" customHeight="1" thickTop="1" x14ac:dyDescent="0.25">
      <c r="B4" s="382" t="s">
        <v>1</v>
      </c>
      <c r="C4" s="385" t="s">
        <v>2</v>
      </c>
      <c r="D4" s="376" t="s">
        <v>3</v>
      </c>
      <c r="E4" s="394" t="s">
        <v>117</v>
      </c>
      <c r="F4" s="394"/>
      <c r="G4" s="394"/>
      <c r="H4" s="394"/>
      <c r="I4" s="395"/>
      <c r="J4" s="326" t="s">
        <v>119</v>
      </c>
      <c r="K4" s="326" t="s">
        <v>120</v>
      </c>
      <c r="L4" s="353" t="s">
        <v>121</v>
      </c>
      <c r="M4" s="355" t="s">
        <v>122</v>
      </c>
      <c r="N4" s="355" t="s">
        <v>123</v>
      </c>
      <c r="O4" s="355" t="s">
        <v>124</v>
      </c>
      <c r="P4" s="355" t="s">
        <v>125</v>
      </c>
      <c r="Q4" s="355" t="s">
        <v>126</v>
      </c>
    </row>
    <row r="5" spans="2:17" x14ac:dyDescent="0.25">
      <c r="B5" s="383"/>
      <c r="C5" s="332"/>
      <c r="D5" s="334"/>
      <c r="E5" s="94" t="s">
        <v>107</v>
      </c>
      <c r="F5" s="92" t="s">
        <v>134</v>
      </c>
      <c r="G5" s="92" t="s">
        <v>135</v>
      </c>
      <c r="H5" s="92" t="s">
        <v>136</v>
      </c>
      <c r="I5" s="177" t="s">
        <v>109</v>
      </c>
      <c r="J5" s="327"/>
      <c r="K5" s="327"/>
      <c r="L5" s="354"/>
      <c r="M5" s="356"/>
      <c r="N5" s="356"/>
      <c r="O5" s="357"/>
      <c r="P5" s="357"/>
      <c r="Q5" s="357"/>
    </row>
    <row r="6" spans="2:17" ht="15.75" thickBot="1" x14ac:dyDescent="0.3">
      <c r="B6" s="384"/>
      <c r="C6" s="386"/>
      <c r="D6" s="334"/>
      <c r="E6" s="178" t="s">
        <v>55</v>
      </c>
      <c r="F6" s="178" t="s">
        <v>55</v>
      </c>
      <c r="G6" s="178" t="s">
        <v>55</v>
      </c>
      <c r="H6" s="178" t="s">
        <v>55</v>
      </c>
      <c r="I6" s="179" t="s">
        <v>55</v>
      </c>
      <c r="J6" s="102" t="s">
        <v>145</v>
      </c>
      <c r="K6" s="102" t="s">
        <v>146</v>
      </c>
      <c r="L6" s="102" t="s">
        <v>146</v>
      </c>
      <c r="M6" s="102" t="s">
        <v>146</v>
      </c>
      <c r="N6" s="102" t="s">
        <v>147</v>
      </c>
      <c r="O6" s="102" t="s">
        <v>147</v>
      </c>
      <c r="P6" s="102" t="s">
        <v>147</v>
      </c>
      <c r="Q6" s="102" t="s">
        <v>146</v>
      </c>
    </row>
    <row r="7" spans="2:17" ht="16.5" thickTop="1" thickBot="1" x14ac:dyDescent="0.3">
      <c r="B7" s="180">
        <v>1</v>
      </c>
      <c r="C7" s="181">
        <v>2</v>
      </c>
      <c r="D7" s="181">
        <v>3</v>
      </c>
      <c r="E7" s="108">
        <v>3</v>
      </c>
      <c r="F7" s="108">
        <v>4</v>
      </c>
      <c r="G7" s="108">
        <v>5</v>
      </c>
      <c r="H7" s="108">
        <v>6</v>
      </c>
      <c r="I7" s="182">
        <v>7</v>
      </c>
      <c r="J7" s="205">
        <v>8</v>
      </c>
      <c r="K7" s="206">
        <v>9</v>
      </c>
      <c r="L7" s="206">
        <v>10</v>
      </c>
      <c r="M7" s="206">
        <v>11</v>
      </c>
      <c r="N7" s="206">
        <v>12</v>
      </c>
      <c r="O7" s="206">
        <v>13</v>
      </c>
      <c r="P7" s="206">
        <v>14</v>
      </c>
      <c r="Q7" s="206">
        <v>15</v>
      </c>
    </row>
    <row r="8" spans="2:17" x14ac:dyDescent="0.25">
      <c r="B8" s="387">
        <v>1</v>
      </c>
      <c r="C8" s="389" t="s">
        <v>16</v>
      </c>
      <c r="D8" s="186" t="s">
        <v>56</v>
      </c>
      <c r="E8" s="187"/>
      <c r="F8" s="187"/>
      <c r="G8" s="187"/>
      <c r="H8" s="187"/>
      <c r="I8" s="241"/>
      <c r="J8" s="187"/>
      <c r="K8" s="187"/>
      <c r="L8" s="187"/>
      <c r="M8" s="187"/>
      <c r="N8" s="187"/>
      <c r="O8" s="187"/>
      <c r="P8" s="187"/>
      <c r="Q8" s="188"/>
    </row>
    <row r="9" spans="2:17" x14ac:dyDescent="0.25">
      <c r="B9" s="388"/>
      <c r="C9" s="390"/>
      <c r="D9" s="189" t="s">
        <v>57</v>
      </c>
      <c r="E9" s="6"/>
      <c r="F9" s="6"/>
      <c r="G9" s="6"/>
      <c r="H9" s="6"/>
      <c r="I9" s="242"/>
      <c r="J9" s="6"/>
      <c r="K9" s="248">
        <v>0</v>
      </c>
      <c r="L9" s="6"/>
      <c r="M9" s="6"/>
      <c r="N9" s="6"/>
      <c r="O9" s="6"/>
      <c r="P9" s="6"/>
      <c r="Q9" s="190"/>
    </row>
    <row r="10" spans="2:17" x14ac:dyDescent="0.25">
      <c r="B10" s="388"/>
      <c r="C10" s="390"/>
      <c r="D10" s="189" t="s">
        <v>58</v>
      </c>
      <c r="E10" s="6"/>
      <c r="F10" s="6"/>
      <c r="G10" s="6"/>
      <c r="H10" s="6"/>
      <c r="I10" s="242"/>
      <c r="J10" s="6"/>
      <c r="K10" s="6"/>
      <c r="L10" s="6"/>
      <c r="M10" s="6"/>
      <c r="N10" s="6"/>
      <c r="O10" s="6"/>
      <c r="P10" s="6"/>
      <c r="Q10" s="190"/>
    </row>
    <row r="11" spans="2:17" x14ac:dyDescent="0.25">
      <c r="B11" s="388"/>
      <c r="C11" s="390"/>
      <c r="D11" s="189" t="s">
        <v>59</v>
      </c>
      <c r="E11" s="6"/>
      <c r="F11" s="6"/>
      <c r="G11" s="6"/>
      <c r="H11" s="6"/>
      <c r="I11" s="242"/>
      <c r="J11" s="6"/>
      <c r="K11" s="6"/>
      <c r="L11" s="6"/>
      <c r="M11" s="6"/>
      <c r="N11" s="6"/>
      <c r="O11" s="6"/>
      <c r="P11" s="6"/>
      <c r="Q11" s="190"/>
    </row>
    <row r="12" spans="2:17" x14ac:dyDescent="0.25">
      <c r="B12" s="388"/>
      <c r="C12" s="390"/>
      <c r="D12" s="189" t="s">
        <v>60</v>
      </c>
      <c r="E12" s="6"/>
      <c r="F12" s="6"/>
      <c r="G12" s="6"/>
      <c r="H12" s="6"/>
      <c r="I12" s="242"/>
      <c r="J12" s="6"/>
      <c r="K12" s="6"/>
      <c r="L12" s="6"/>
      <c r="M12" s="6"/>
      <c r="N12" s="6"/>
      <c r="O12" s="6"/>
      <c r="P12" s="6"/>
      <c r="Q12" s="190"/>
    </row>
    <row r="13" spans="2:17" x14ac:dyDescent="0.25">
      <c r="B13" s="388"/>
      <c r="C13" s="390"/>
      <c r="D13" s="189" t="s">
        <v>61</v>
      </c>
      <c r="E13" s="6"/>
      <c r="F13" s="6"/>
      <c r="G13" s="6"/>
      <c r="H13" s="6"/>
      <c r="I13" s="242"/>
      <c r="J13" s="6"/>
      <c r="K13" s="6"/>
      <c r="L13" s="6"/>
      <c r="M13" s="6"/>
      <c r="N13" s="6"/>
      <c r="O13" s="6"/>
      <c r="P13" s="6"/>
      <c r="Q13" s="190"/>
    </row>
    <row r="14" spans="2:17" x14ac:dyDescent="0.25">
      <c r="B14" s="388"/>
      <c r="C14" s="390"/>
      <c r="D14" s="189" t="s">
        <v>62</v>
      </c>
      <c r="E14" s="191">
        <f>1+1+1+1+3+1+1</f>
        <v>9</v>
      </c>
      <c r="F14" s="6"/>
      <c r="G14" s="6"/>
      <c r="H14" s="6"/>
      <c r="I14" s="242"/>
      <c r="J14" s="6"/>
      <c r="K14" s="6"/>
      <c r="L14" s="6"/>
      <c r="M14" s="6"/>
      <c r="N14" s="6"/>
      <c r="O14" s="6"/>
      <c r="P14" s="191">
        <v>1</v>
      </c>
      <c r="Q14" s="190"/>
    </row>
    <row r="15" spans="2:17" x14ac:dyDescent="0.25">
      <c r="B15" s="388"/>
      <c r="C15" s="390"/>
      <c r="D15" s="189" t="s">
        <v>63</v>
      </c>
      <c r="E15" s="191">
        <f>28+1+2+1+1+1+2+1+1</f>
        <v>38</v>
      </c>
      <c r="F15" s="6"/>
      <c r="G15" s="6"/>
      <c r="H15" s="6"/>
      <c r="I15" s="242"/>
      <c r="J15" s="6"/>
      <c r="K15" s="6"/>
      <c r="L15" s="6"/>
      <c r="M15" s="6"/>
      <c r="N15" s="6"/>
      <c r="O15" s="6"/>
      <c r="P15" s="191">
        <v>1</v>
      </c>
      <c r="Q15" s="190"/>
    </row>
    <row r="16" spans="2:17" x14ac:dyDescent="0.25">
      <c r="B16" s="388"/>
      <c r="C16" s="390"/>
      <c r="D16" s="189" t="s">
        <v>64</v>
      </c>
      <c r="E16" s="191">
        <v>2</v>
      </c>
      <c r="F16" s="6"/>
      <c r="G16" s="6"/>
      <c r="H16" s="6"/>
      <c r="I16" s="242"/>
      <c r="J16" s="6"/>
      <c r="K16" s="6"/>
      <c r="L16" s="6"/>
      <c r="M16" s="6"/>
      <c r="N16" s="6"/>
      <c r="O16" s="6"/>
      <c r="P16" s="6"/>
      <c r="Q16" s="190"/>
    </row>
    <row r="17" spans="2:17" x14ac:dyDescent="0.25">
      <c r="B17" s="388"/>
      <c r="C17" s="390"/>
      <c r="D17" s="189" t="s">
        <v>65</v>
      </c>
      <c r="E17" s="6"/>
      <c r="F17" s="6"/>
      <c r="G17" s="6"/>
      <c r="H17" s="6"/>
      <c r="I17" s="242"/>
      <c r="J17" s="6"/>
      <c r="K17" s="6"/>
      <c r="L17" s="6"/>
      <c r="M17" s="6"/>
      <c r="N17" s="6"/>
      <c r="O17" s="6"/>
      <c r="P17" s="6"/>
      <c r="Q17" s="190"/>
    </row>
    <row r="18" spans="2:17" x14ac:dyDescent="0.25">
      <c r="B18" s="388"/>
      <c r="C18" s="390"/>
      <c r="D18" s="189" t="s">
        <v>66</v>
      </c>
      <c r="E18" s="6"/>
      <c r="F18" s="6"/>
      <c r="G18" s="6"/>
      <c r="H18" s="6"/>
      <c r="I18" s="242"/>
      <c r="J18" s="6"/>
      <c r="K18" s="6"/>
      <c r="L18" s="6"/>
      <c r="M18" s="6"/>
      <c r="N18" s="6"/>
      <c r="O18" s="6"/>
      <c r="P18" s="6"/>
      <c r="Q18" s="190"/>
    </row>
    <row r="19" spans="2:17" x14ac:dyDescent="0.25">
      <c r="B19" s="388"/>
      <c r="C19" s="390"/>
      <c r="D19" s="192" t="s">
        <v>67</v>
      </c>
      <c r="E19" s="6"/>
      <c r="F19" s="6"/>
      <c r="G19" s="6"/>
      <c r="H19" s="6"/>
      <c r="I19" s="242"/>
      <c r="J19" s="6"/>
      <c r="K19" s="6"/>
      <c r="L19" s="6"/>
      <c r="M19" s="6"/>
      <c r="N19" s="6"/>
      <c r="O19" s="6"/>
      <c r="P19" s="6"/>
      <c r="Q19" s="190"/>
    </row>
    <row r="20" spans="2:17" x14ac:dyDescent="0.25">
      <c r="B20" s="377" t="s">
        <v>15</v>
      </c>
      <c r="C20" s="378"/>
      <c r="D20" s="379"/>
      <c r="E20" s="193">
        <f>SUM(E8:E19)</f>
        <v>49</v>
      </c>
      <c r="F20" s="193">
        <f t="shared" ref="F20:J20" si="0">SUM(F8:F19)</f>
        <v>0</v>
      </c>
      <c r="G20" s="193">
        <f t="shared" si="0"/>
        <v>0</v>
      </c>
      <c r="H20" s="193">
        <f t="shared" si="0"/>
        <v>0</v>
      </c>
      <c r="I20" s="243">
        <f t="shared" si="0"/>
        <v>0</v>
      </c>
      <c r="J20" s="193">
        <f t="shared" si="0"/>
        <v>0</v>
      </c>
      <c r="K20" s="193">
        <f t="shared" ref="K20" si="1">SUM(K8:K19)</f>
        <v>0</v>
      </c>
      <c r="L20" s="193">
        <f t="shared" ref="L20" si="2">SUM(L8:L19)</f>
        <v>0</v>
      </c>
      <c r="M20" s="193">
        <f t="shared" ref="M20" si="3">SUM(M8:M19)</f>
        <v>0</v>
      </c>
      <c r="N20" s="193">
        <f t="shared" ref="N20:O20" si="4">SUM(N8:N19)</f>
        <v>0</v>
      </c>
      <c r="O20" s="193">
        <f t="shared" si="4"/>
        <v>0</v>
      </c>
      <c r="P20" s="193">
        <f t="shared" ref="P20" si="5">SUM(P8:P19)</f>
        <v>2</v>
      </c>
      <c r="Q20" s="194">
        <f t="shared" ref="Q20" si="6">SUM(Q8:Q19)</f>
        <v>0</v>
      </c>
    </row>
    <row r="21" spans="2:17" x14ac:dyDescent="0.25">
      <c r="B21" s="380">
        <v>2</v>
      </c>
      <c r="C21" s="381" t="s">
        <v>19</v>
      </c>
      <c r="D21" s="189" t="s">
        <v>56</v>
      </c>
      <c r="E21" s="191">
        <f>31+168</f>
        <v>199</v>
      </c>
      <c r="F21" s="191">
        <v>1</v>
      </c>
      <c r="G21" s="191">
        <f>1+1</f>
        <v>2</v>
      </c>
      <c r="H21" s="6"/>
      <c r="I21" s="242"/>
      <c r="J21" s="6"/>
      <c r="K21" s="191">
        <v>340</v>
      </c>
      <c r="L21" s="191">
        <v>900</v>
      </c>
      <c r="M21" s="191">
        <v>30</v>
      </c>
      <c r="N21" s="6"/>
      <c r="O21" s="6"/>
      <c r="P21" s="6"/>
      <c r="Q21" s="190"/>
    </row>
    <row r="22" spans="2:17" x14ac:dyDescent="0.25">
      <c r="B22" s="380"/>
      <c r="C22" s="381"/>
      <c r="D22" s="189" t="s">
        <v>57</v>
      </c>
      <c r="E22" s="6"/>
      <c r="F22" s="6"/>
      <c r="G22" s="6"/>
      <c r="H22" s="6"/>
      <c r="I22" s="242"/>
      <c r="J22" s="6"/>
      <c r="K22" s="6"/>
      <c r="L22" s="6"/>
      <c r="M22" s="6"/>
      <c r="N22" s="6"/>
      <c r="O22" s="6"/>
      <c r="P22" s="6"/>
      <c r="Q22" s="190"/>
    </row>
    <row r="23" spans="2:17" x14ac:dyDescent="0.25">
      <c r="B23" s="380"/>
      <c r="C23" s="381"/>
      <c r="D23" s="189" t="s">
        <v>58</v>
      </c>
      <c r="E23" s="191">
        <v>3</v>
      </c>
      <c r="F23" s="6"/>
      <c r="G23" s="6"/>
      <c r="H23" s="6"/>
      <c r="I23" s="242"/>
      <c r="J23" s="191">
        <v>252</v>
      </c>
      <c r="K23" s="6"/>
      <c r="L23" s="6"/>
      <c r="M23" s="6"/>
      <c r="N23" s="6"/>
      <c r="O23" s="6"/>
      <c r="P23" s="6"/>
      <c r="Q23" s="190"/>
    </row>
    <row r="24" spans="2:17" x14ac:dyDescent="0.25">
      <c r="B24" s="380"/>
      <c r="C24" s="381"/>
      <c r="D24" s="189" t="s">
        <v>59</v>
      </c>
      <c r="E24" s="6"/>
      <c r="F24" s="6"/>
      <c r="G24" s="6"/>
      <c r="H24" s="6"/>
      <c r="I24" s="242"/>
      <c r="J24" s="6"/>
      <c r="K24" s="6"/>
      <c r="L24" s="6"/>
      <c r="M24" s="6"/>
      <c r="N24" s="6"/>
      <c r="O24" s="6"/>
      <c r="P24" s="6"/>
      <c r="Q24" s="190"/>
    </row>
    <row r="25" spans="2:17" x14ac:dyDescent="0.25">
      <c r="B25" s="380"/>
      <c r="C25" s="381"/>
      <c r="D25" s="189" t="s">
        <v>60</v>
      </c>
      <c r="E25" s="6"/>
      <c r="F25" s="6"/>
      <c r="G25" s="6"/>
      <c r="H25" s="6"/>
      <c r="I25" s="242"/>
      <c r="J25" s="6"/>
      <c r="K25" s="6"/>
      <c r="L25" s="6"/>
      <c r="M25" s="6"/>
      <c r="N25" s="6"/>
      <c r="O25" s="6"/>
      <c r="P25" s="6"/>
      <c r="Q25" s="190"/>
    </row>
    <row r="26" spans="2:17" x14ac:dyDescent="0.25">
      <c r="B26" s="380"/>
      <c r="C26" s="381"/>
      <c r="D26" s="189" t="s">
        <v>61</v>
      </c>
      <c r="E26" s="6"/>
      <c r="F26" s="6"/>
      <c r="G26" s="6"/>
      <c r="H26" s="6"/>
      <c r="I26" s="242"/>
      <c r="J26" s="6"/>
      <c r="K26" s="6"/>
      <c r="L26" s="6"/>
      <c r="M26" s="6"/>
      <c r="N26" s="6"/>
      <c r="O26" s="6"/>
      <c r="P26" s="6"/>
      <c r="Q26" s="190"/>
    </row>
    <row r="27" spans="2:17" x14ac:dyDescent="0.25">
      <c r="B27" s="380"/>
      <c r="C27" s="381"/>
      <c r="D27" s="189" t="s">
        <v>62</v>
      </c>
      <c r="E27" s="191">
        <v>1</v>
      </c>
      <c r="F27" s="6"/>
      <c r="G27" s="6"/>
      <c r="H27" s="6"/>
      <c r="I27" s="242"/>
      <c r="J27" s="6"/>
      <c r="K27" s="6"/>
      <c r="L27" s="6"/>
      <c r="M27" s="6"/>
      <c r="N27" s="6"/>
      <c r="O27" s="6"/>
      <c r="P27" s="6"/>
      <c r="Q27" s="249"/>
    </row>
    <row r="28" spans="2:17" x14ac:dyDescent="0.25">
      <c r="B28" s="380"/>
      <c r="C28" s="381"/>
      <c r="D28" s="189" t="s">
        <v>63</v>
      </c>
      <c r="E28" s="191">
        <f>2+1+1</f>
        <v>4</v>
      </c>
      <c r="F28" s="6"/>
      <c r="G28" s="6"/>
      <c r="H28" s="6"/>
      <c r="I28" s="242"/>
      <c r="J28" s="6"/>
      <c r="K28" s="6"/>
      <c r="L28" s="6"/>
      <c r="M28" s="6"/>
      <c r="N28" s="6"/>
      <c r="O28" s="6"/>
      <c r="P28" s="6"/>
      <c r="Q28" s="249"/>
    </row>
    <row r="29" spans="2:17" x14ac:dyDescent="0.25">
      <c r="B29" s="380"/>
      <c r="C29" s="381"/>
      <c r="D29" s="189" t="s">
        <v>64</v>
      </c>
      <c r="E29" s="191">
        <v>4</v>
      </c>
      <c r="F29" s="6"/>
      <c r="G29" s="6"/>
      <c r="H29" s="6"/>
      <c r="I29" s="242"/>
      <c r="J29" s="6"/>
      <c r="K29" s="6"/>
      <c r="L29" s="6"/>
      <c r="M29" s="6"/>
      <c r="N29" s="6"/>
      <c r="O29" s="6"/>
      <c r="P29" s="6"/>
      <c r="Q29" s="249"/>
    </row>
    <row r="30" spans="2:17" x14ac:dyDescent="0.25">
      <c r="B30" s="380"/>
      <c r="C30" s="381"/>
      <c r="D30" s="189" t="s">
        <v>65</v>
      </c>
      <c r="E30" s="7"/>
      <c r="F30" s="6"/>
      <c r="G30" s="6"/>
      <c r="H30" s="6"/>
      <c r="I30" s="242"/>
      <c r="J30" s="6"/>
      <c r="K30" s="6"/>
      <c r="L30" s="6"/>
      <c r="M30" s="6"/>
      <c r="N30" s="6"/>
      <c r="O30" s="6"/>
      <c r="P30" s="6"/>
      <c r="Q30" s="190"/>
    </row>
    <row r="31" spans="2:17" x14ac:dyDescent="0.25">
      <c r="B31" s="380"/>
      <c r="C31" s="381"/>
      <c r="D31" s="189" t="s">
        <v>66</v>
      </c>
      <c r="E31" s="7"/>
      <c r="F31" s="6"/>
      <c r="G31" s="6"/>
      <c r="H31" s="6"/>
      <c r="I31" s="242"/>
      <c r="J31" s="6"/>
      <c r="K31" s="6"/>
      <c r="L31" s="6"/>
      <c r="M31" s="6"/>
      <c r="N31" s="6"/>
      <c r="O31" s="6"/>
      <c r="P31" s="6"/>
      <c r="Q31" s="190"/>
    </row>
    <row r="32" spans="2:17" x14ac:dyDescent="0.25">
      <c r="B32" s="380"/>
      <c r="C32" s="381"/>
      <c r="D32" s="189" t="s">
        <v>67</v>
      </c>
      <c r="E32" s="7"/>
      <c r="F32" s="6"/>
      <c r="G32" s="6"/>
      <c r="H32" s="6"/>
      <c r="I32" s="242"/>
      <c r="J32" s="6"/>
      <c r="K32" s="6"/>
      <c r="L32" s="6"/>
      <c r="M32" s="6"/>
      <c r="N32" s="6"/>
      <c r="O32" s="6"/>
      <c r="P32" s="6"/>
      <c r="Q32" s="190"/>
    </row>
    <row r="33" spans="2:17" x14ac:dyDescent="0.25">
      <c r="B33" s="377" t="s">
        <v>15</v>
      </c>
      <c r="C33" s="378"/>
      <c r="D33" s="379"/>
      <c r="E33" s="193">
        <f>SUM(E21:E32)</f>
        <v>211</v>
      </c>
      <c r="F33" s="193">
        <f t="shared" ref="F33" si="7">SUM(F21:F32)</f>
        <v>1</v>
      </c>
      <c r="G33" s="193">
        <f t="shared" ref="G33" si="8">SUM(G21:G32)</f>
        <v>2</v>
      </c>
      <c r="H33" s="193">
        <f t="shared" ref="H33" si="9">SUM(H21:H32)</f>
        <v>0</v>
      </c>
      <c r="I33" s="243">
        <f t="shared" ref="I33" si="10">SUM(I21:I32)</f>
        <v>0</v>
      </c>
      <c r="J33" s="193">
        <f t="shared" ref="J33" si="11">SUM(J21:J32)</f>
        <v>252</v>
      </c>
      <c r="K33" s="193">
        <f t="shared" ref="K33" si="12">SUM(K21:K32)</f>
        <v>340</v>
      </c>
      <c r="L33" s="193">
        <f t="shared" ref="L33" si="13">SUM(L21:L32)</f>
        <v>900</v>
      </c>
      <c r="M33" s="193">
        <f t="shared" ref="M33" si="14">SUM(M21:M32)</f>
        <v>30</v>
      </c>
      <c r="N33" s="193">
        <f t="shared" ref="N33" si="15">SUM(N21:N32)</f>
        <v>0</v>
      </c>
      <c r="O33" s="193">
        <f t="shared" ref="O33" si="16">SUM(O21:O32)</f>
        <v>0</v>
      </c>
      <c r="P33" s="193">
        <f t="shared" ref="P33" si="17">SUM(P21:P32)</f>
        <v>0</v>
      </c>
      <c r="Q33" s="194">
        <f t="shared" ref="Q33" si="18">SUM(Q21:Q32)</f>
        <v>0</v>
      </c>
    </row>
    <row r="34" spans="2:17" x14ac:dyDescent="0.25">
      <c r="B34" s="380">
        <v>3</v>
      </c>
      <c r="C34" s="381" t="s">
        <v>17</v>
      </c>
      <c r="D34" s="189" t="s">
        <v>56</v>
      </c>
      <c r="E34" s="7"/>
      <c r="F34" s="6"/>
      <c r="G34" s="6"/>
      <c r="H34" s="6"/>
      <c r="I34" s="242"/>
      <c r="J34" s="6"/>
      <c r="K34" s="6"/>
      <c r="L34" s="6"/>
      <c r="M34" s="6"/>
      <c r="N34" s="6"/>
      <c r="O34" s="6"/>
      <c r="P34" s="6"/>
      <c r="Q34" s="190"/>
    </row>
    <row r="35" spans="2:17" x14ac:dyDescent="0.25">
      <c r="B35" s="380"/>
      <c r="C35" s="381"/>
      <c r="D35" s="189" t="s">
        <v>57</v>
      </c>
      <c r="E35" s="7"/>
      <c r="F35" s="6"/>
      <c r="G35" s="6"/>
      <c r="H35" s="6"/>
      <c r="I35" s="242"/>
      <c r="J35" s="6"/>
      <c r="K35" s="6"/>
      <c r="L35" s="6"/>
      <c r="M35" s="6"/>
      <c r="N35" s="6"/>
      <c r="O35" s="6"/>
      <c r="P35" s="6"/>
      <c r="Q35" s="190"/>
    </row>
    <row r="36" spans="2:17" x14ac:dyDescent="0.25">
      <c r="B36" s="380"/>
      <c r="C36" s="381"/>
      <c r="D36" s="189" t="s">
        <v>58</v>
      </c>
      <c r="E36" s="191">
        <v>2</v>
      </c>
      <c r="F36" s="6"/>
      <c r="G36" s="6"/>
      <c r="H36" s="6"/>
      <c r="I36" s="242"/>
      <c r="J36" s="6"/>
      <c r="K36" s="6"/>
      <c r="L36" s="6"/>
      <c r="M36" s="6"/>
      <c r="N36" s="6"/>
      <c r="O36" s="6"/>
      <c r="P36" s="6"/>
      <c r="Q36" s="190"/>
    </row>
    <row r="37" spans="2:17" x14ac:dyDescent="0.25">
      <c r="B37" s="380"/>
      <c r="C37" s="381"/>
      <c r="D37" s="189" t="s">
        <v>59</v>
      </c>
      <c r="E37" s="6"/>
      <c r="F37" s="6"/>
      <c r="G37" s="6"/>
      <c r="H37" s="6"/>
      <c r="I37" s="242"/>
      <c r="J37" s="6"/>
      <c r="K37" s="6"/>
      <c r="L37" s="6"/>
      <c r="M37" s="6"/>
      <c r="N37" s="6"/>
      <c r="O37" s="6"/>
      <c r="P37" s="6"/>
      <c r="Q37" s="190"/>
    </row>
    <row r="38" spans="2:17" x14ac:dyDescent="0.25">
      <c r="B38" s="380"/>
      <c r="C38" s="381"/>
      <c r="D38" s="189" t="s">
        <v>60</v>
      </c>
      <c r="E38" s="6"/>
      <c r="F38" s="6"/>
      <c r="G38" s="6"/>
      <c r="H38" s="6"/>
      <c r="I38" s="242"/>
      <c r="J38" s="6"/>
      <c r="K38" s="6"/>
      <c r="L38" s="6"/>
      <c r="M38" s="6"/>
      <c r="N38" s="6"/>
      <c r="O38" s="6"/>
      <c r="P38" s="6"/>
      <c r="Q38" s="190"/>
    </row>
    <row r="39" spans="2:17" x14ac:dyDescent="0.25">
      <c r="B39" s="380"/>
      <c r="C39" s="381"/>
      <c r="D39" s="189" t="s">
        <v>61</v>
      </c>
      <c r="E39" s="6"/>
      <c r="F39" s="6"/>
      <c r="G39" s="6"/>
      <c r="H39" s="6"/>
      <c r="I39" s="242"/>
      <c r="J39" s="6"/>
      <c r="K39" s="6"/>
      <c r="L39" s="6"/>
      <c r="M39" s="6"/>
      <c r="N39" s="6"/>
      <c r="O39" s="6"/>
      <c r="P39" s="6"/>
      <c r="Q39" s="190"/>
    </row>
    <row r="40" spans="2:17" x14ac:dyDescent="0.25">
      <c r="B40" s="380"/>
      <c r="C40" s="381"/>
      <c r="D40" s="189" t="s">
        <v>62</v>
      </c>
      <c r="E40" s="191">
        <f>6+1+2+4+2+6+2</f>
        <v>23</v>
      </c>
      <c r="F40" s="6"/>
      <c r="G40" s="191">
        <v>1</v>
      </c>
      <c r="H40" s="6"/>
      <c r="I40" s="242"/>
      <c r="J40" s="6"/>
      <c r="K40" s="6"/>
      <c r="L40" s="6"/>
      <c r="M40" s="6"/>
      <c r="N40" s="6"/>
      <c r="O40" s="191">
        <v>1</v>
      </c>
      <c r="P40" s="6"/>
      <c r="Q40" s="190"/>
    </row>
    <row r="41" spans="2:17" x14ac:dyDescent="0.25">
      <c r="B41" s="380"/>
      <c r="C41" s="381"/>
      <c r="D41" s="189" t="s">
        <v>63</v>
      </c>
      <c r="E41" s="191">
        <f>32+2</f>
        <v>34</v>
      </c>
      <c r="F41" s="6"/>
      <c r="G41" s="6"/>
      <c r="H41" s="6"/>
      <c r="I41" s="242"/>
      <c r="J41" s="6"/>
      <c r="K41" s="6"/>
      <c r="L41" s="6"/>
      <c r="M41" s="6"/>
      <c r="N41" s="6"/>
      <c r="O41" s="6"/>
      <c r="P41" s="6"/>
      <c r="Q41" s="190"/>
    </row>
    <row r="42" spans="2:17" x14ac:dyDescent="0.25">
      <c r="B42" s="380"/>
      <c r="C42" s="381"/>
      <c r="D42" s="189" t="s">
        <v>64</v>
      </c>
      <c r="E42" s="6"/>
      <c r="F42" s="6"/>
      <c r="G42" s="6"/>
      <c r="H42" s="6"/>
      <c r="I42" s="242"/>
      <c r="J42" s="6"/>
      <c r="K42" s="6"/>
      <c r="L42" s="6"/>
      <c r="M42" s="6"/>
      <c r="N42" s="6"/>
      <c r="O42" s="6"/>
      <c r="P42" s="6"/>
      <c r="Q42" s="190"/>
    </row>
    <row r="43" spans="2:17" x14ac:dyDescent="0.25">
      <c r="B43" s="380"/>
      <c r="C43" s="381"/>
      <c r="D43" s="189" t="s">
        <v>65</v>
      </c>
      <c r="E43" s="7"/>
      <c r="F43" s="6"/>
      <c r="G43" s="6"/>
      <c r="H43" s="6"/>
      <c r="I43" s="242"/>
      <c r="J43" s="6"/>
      <c r="K43" s="6"/>
      <c r="L43" s="6"/>
      <c r="M43" s="6"/>
      <c r="N43" s="6"/>
      <c r="O43" s="6"/>
      <c r="P43" s="6"/>
      <c r="Q43" s="190"/>
    </row>
    <row r="44" spans="2:17" x14ac:dyDescent="0.25">
      <c r="B44" s="380"/>
      <c r="C44" s="381"/>
      <c r="D44" s="189" t="s">
        <v>66</v>
      </c>
      <c r="E44" s="7"/>
      <c r="F44" s="6"/>
      <c r="G44" s="6"/>
      <c r="H44" s="6"/>
      <c r="I44" s="242"/>
      <c r="J44" s="6"/>
      <c r="K44" s="6"/>
      <c r="L44" s="6"/>
      <c r="M44" s="6"/>
      <c r="N44" s="6"/>
      <c r="O44" s="6"/>
      <c r="P44" s="6"/>
      <c r="Q44" s="190"/>
    </row>
    <row r="45" spans="2:17" x14ac:dyDescent="0.25">
      <c r="B45" s="380"/>
      <c r="C45" s="381"/>
      <c r="D45" s="189" t="s">
        <v>67</v>
      </c>
      <c r="E45" s="7"/>
      <c r="F45" s="6"/>
      <c r="G45" s="6"/>
      <c r="H45" s="6"/>
      <c r="I45" s="242"/>
      <c r="J45" s="6"/>
      <c r="K45" s="6"/>
      <c r="L45" s="6"/>
      <c r="M45" s="6"/>
      <c r="N45" s="6"/>
      <c r="O45" s="6"/>
      <c r="P45" s="6"/>
      <c r="Q45" s="190"/>
    </row>
    <row r="46" spans="2:17" x14ac:dyDescent="0.25">
      <c r="B46" s="377" t="s">
        <v>15</v>
      </c>
      <c r="C46" s="378"/>
      <c r="D46" s="379"/>
      <c r="E46" s="193">
        <f>SUM(E34:E45)</f>
        <v>59</v>
      </c>
      <c r="F46" s="193">
        <f t="shared" ref="F46" si="19">SUM(F34:F45)</f>
        <v>0</v>
      </c>
      <c r="G46" s="193">
        <f t="shared" ref="G46" si="20">SUM(G34:G45)</f>
        <v>1</v>
      </c>
      <c r="H46" s="193">
        <f t="shared" ref="H46" si="21">SUM(H34:H45)</f>
        <v>0</v>
      </c>
      <c r="I46" s="243">
        <f t="shared" ref="I46" si="22">SUM(I34:I45)</f>
        <v>0</v>
      </c>
      <c r="J46" s="193">
        <f t="shared" ref="J46" si="23">SUM(J34:J45)</f>
        <v>0</v>
      </c>
      <c r="K46" s="193">
        <f t="shared" ref="K46" si="24">SUM(K34:K45)</f>
        <v>0</v>
      </c>
      <c r="L46" s="193">
        <f t="shared" ref="L46" si="25">SUM(L34:L45)</f>
        <v>0</v>
      </c>
      <c r="M46" s="193">
        <f t="shared" ref="M46" si="26">SUM(M34:M45)</f>
        <v>0</v>
      </c>
      <c r="N46" s="193">
        <f t="shared" ref="N46" si="27">SUM(N34:N45)</f>
        <v>0</v>
      </c>
      <c r="O46" s="193">
        <f t="shared" ref="O46" si="28">SUM(O34:O45)</f>
        <v>1</v>
      </c>
      <c r="P46" s="193">
        <f t="shared" ref="P46" si="29">SUM(P34:P45)</f>
        <v>0</v>
      </c>
      <c r="Q46" s="194">
        <f t="shared" ref="Q46" si="30">SUM(Q34:Q45)</f>
        <v>0</v>
      </c>
    </row>
    <row r="47" spans="2:17" x14ac:dyDescent="0.25">
      <c r="B47" s="380">
        <v>4</v>
      </c>
      <c r="C47" s="381" t="s">
        <v>20</v>
      </c>
      <c r="D47" s="189" t="s">
        <v>56</v>
      </c>
      <c r="E47" s="7"/>
      <c r="F47" s="6"/>
      <c r="G47" s="6"/>
      <c r="H47" s="6"/>
      <c r="I47" s="242"/>
      <c r="J47" s="6"/>
      <c r="K47" s="6"/>
      <c r="L47" s="6"/>
      <c r="M47" s="6"/>
      <c r="N47" s="6"/>
      <c r="O47" s="6"/>
      <c r="P47" s="6"/>
      <c r="Q47" s="190"/>
    </row>
    <row r="48" spans="2:17" x14ac:dyDescent="0.25">
      <c r="B48" s="380"/>
      <c r="C48" s="381"/>
      <c r="D48" s="189" t="s">
        <v>57</v>
      </c>
      <c r="E48" s="7"/>
      <c r="F48" s="6"/>
      <c r="G48" s="6"/>
      <c r="H48" s="6"/>
      <c r="I48" s="242"/>
      <c r="J48" s="6"/>
      <c r="K48" s="6"/>
      <c r="L48" s="6"/>
      <c r="M48" s="6"/>
      <c r="N48" s="6"/>
      <c r="O48" s="6"/>
      <c r="P48" s="6"/>
      <c r="Q48" s="190"/>
    </row>
    <row r="49" spans="2:17" x14ac:dyDescent="0.25">
      <c r="B49" s="380"/>
      <c r="C49" s="381"/>
      <c r="D49" s="189" t="s">
        <v>58</v>
      </c>
      <c r="E49" s="7"/>
      <c r="F49" s="6"/>
      <c r="G49" s="6"/>
      <c r="H49" s="6"/>
      <c r="I49" s="242"/>
      <c r="J49" s="6"/>
      <c r="K49" s="6"/>
      <c r="L49" s="6"/>
      <c r="M49" s="6"/>
      <c r="N49" s="6"/>
      <c r="O49" s="6"/>
      <c r="P49" s="6"/>
      <c r="Q49" s="190"/>
    </row>
    <row r="50" spans="2:17" x14ac:dyDescent="0.25">
      <c r="B50" s="380"/>
      <c r="C50" s="381"/>
      <c r="D50" s="189" t="s">
        <v>59</v>
      </c>
      <c r="E50" s="7"/>
      <c r="F50" s="6"/>
      <c r="G50" s="6"/>
      <c r="H50" s="6"/>
      <c r="I50" s="242"/>
      <c r="J50" s="6"/>
      <c r="K50" s="6"/>
      <c r="L50" s="6"/>
      <c r="M50" s="6"/>
      <c r="N50" s="6"/>
      <c r="O50" s="6"/>
      <c r="P50" s="6"/>
      <c r="Q50" s="190"/>
    </row>
    <row r="51" spans="2:17" x14ac:dyDescent="0.25">
      <c r="B51" s="380"/>
      <c r="C51" s="381"/>
      <c r="D51" s="189" t="s">
        <v>60</v>
      </c>
      <c r="E51" s="7"/>
      <c r="F51" s="6"/>
      <c r="G51" s="6"/>
      <c r="H51" s="6"/>
      <c r="I51" s="242"/>
      <c r="J51" s="6"/>
      <c r="K51" s="6"/>
      <c r="L51" s="6"/>
      <c r="M51" s="6"/>
      <c r="N51" s="6"/>
      <c r="O51" s="6"/>
      <c r="P51" s="6"/>
      <c r="Q51" s="190"/>
    </row>
    <row r="52" spans="2:17" x14ac:dyDescent="0.25">
      <c r="B52" s="380"/>
      <c r="C52" s="381"/>
      <c r="D52" s="189" t="s">
        <v>61</v>
      </c>
      <c r="E52" s="7"/>
      <c r="F52" s="6"/>
      <c r="G52" s="6"/>
      <c r="H52" s="6"/>
      <c r="I52" s="242"/>
      <c r="J52" s="6"/>
      <c r="K52" s="6"/>
      <c r="L52" s="6"/>
      <c r="M52" s="6"/>
      <c r="N52" s="6"/>
      <c r="O52" s="6"/>
      <c r="P52" s="6"/>
      <c r="Q52" s="190"/>
    </row>
    <row r="53" spans="2:17" x14ac:dyDescent="0.25">
      <c r="B53" s="380"/>
      <c r="C53" s="381"/>
      <c r="D53" s="189" t="s">
        <v>62</v>
      </c>
      <c r="E53" s="191">
        <f>4+3+19+12+8+6+16</f>
        <v>68</v>
      </c>
      <c r="F53" s="6"/>
      <c r="G53" s="6"/>
      <c r="H53" s="6"/>
      <c r="I53" s="242"/>
      <c r="J53" s="6"/>
      <c r="K53" s="6"/>
      <c r="L53" s="6"/>
      <c r="M53" s="6"/>
      <c r="N53" s="6"/>
      <c r="O53" s="6"/>
      <c r="P53" s="6"/>
      <c r="Q53" s="190"/>
    </row>
    <row r="54" spans="2:17" x14ac:dyDescent="0.25">
      <c r="B54" s="380"/>
      <c r="C54" s="381"/>
      <c r="D54" s="189" t="s">
        <v>63</v>
      </c>
      <c r="E54" s="191">
        <f>2+1+1+1</f>
        <v>5</v>
      </c>
      <c r="F54" s="6"/>
      <c r="G54" s="6"/>
      <c r="H54" s="6"/>
      <c r="I54" s="242"/>
      <c r="J54" s="6"/>
      <c r="K54" s="6"/>
      <c r="L54" s="6"/>
      <c r="M54" s="6"/>
      <c r="N54" s="6"/>
      <c r="O54" s="6"/>
      <c r="P54" s="6"/>
      <c r="Q54" s="190"/>
    </row>
    <row r="55" spans="2:17" x14ac:dyDescent="0.25">
      <c r="B55" s="380"/>
      <c r="C55" s="381"/>
      <c r="D55" s="189" t="s">
        <v>64</v>
      </c>
      <c r="E55" s="191">
        <f>6+1+1</f>
        <v>8</v>
      </c>
      <c r="F55" s="6"/>
      <c r="G55" s="6"/>
      <c r="H55" s="6"/>
      <c r="I55" s="242"/>
      <c r="J55" s="6"/>
      <c r="K55" s="6"/>
      <c r="L55" s="6"/>
      <c r="M55" s="6"/>
      <c r="N55" s="6"/>
      <c r="O55" s="6"/>
      <c r="P55" s="6"/>
      <c r="Q55" s="190"/>
    </row>
    <row r="56" spans="2:17" x14ac:dyDescent="0.25">
      <c r="B56" s="380"/>
      <c r="C56" s="381"/>
      <c r="D56" s="189" t="s">
        <v>65</v>
      </c>
      <c r="E56" s="6"/>
      <c r="F56" s="6"/>
      <c r="G56" s="6"/>
      <c r="H56" s="6"/>
      <c r="I56" s="242"/>
      <c r="J56" s="6"/>
      <c r="K56" s="6"/>
      <c r="L56" s="6"/>
      <c r="M56" s="6"/>
      <c r="N56" s="6"/>
      <c r="O56" s="6"/>
      <c r="P56" s="6"/>
      <c r="Q56" s="190"/>
    </row>
    <row r="57" spans="2:17" x14ac:dyDescent="0.25">
      <c r="B57" s="380"/>
      <c r="C57" s="381"/>
      <c r="D57" s="189" t="s">
        <v>66</v>
      </c>
      <c r="E57" s="6"/>
      <c r="F57" s="6"/>
      <c r="G57" s="6"/>
      <c r="H57" s="6"/>
      <c r="I57" s="242"/>
      <c r="J57" s="6"/>
      <c r="K57" s="6"/>
      <c r="L57" s="6"/>
      <c r="M57" s="6"/>
      <c r="N57" s="6"/>
      <c r="O57" s="6"/>
      <c r="P57" s="6"/>
      <c r="Q57" s="190"/>
    </row>
    <row r="58" spans="2:17" x14ac:dyDescent="0.25">
      <c r="B58" s="380"/>
      <c r="C58" s="381"/>
      <c r="D58" s="189" t="s">
        <v>67</v>
      </c>
      <c r="E58" s="6"/>
      <c r="F58" s="6"/>
      <c r="G58" s="6"/>
      <c r="H58" s="6"/>
      <c r="I58" s="242"/>
      <c r="J58" s="6"/>
      <c r="K58" s="6"/>
      <c r="L58" s="6"/>
      <c r="M58" s="6"/>
      <c r="N58" s="6"/>
      <c r="O58" s="6"/>
      <c r="P58" s="6"/>
      <c r="Q58" s="190"/>
    </row>
    <row r="59" spans="2:17" x14ac:dyDescent="0.25">
      <c r="B59" s="377" t="s">
        <v>15</v>
      </c>
      <c r="C59" s="378"/>
      <c r="D59" s="379"/>
      <c r="E59" s="193">
        <f>SUM(E47:E58)</f>
        <v>81</v>
      </c>
      <c r="F59" s="193">
        <f t="shared" ref="F59" si="31">SUM(F47:F58)</f>
        <v>0</v>
      </c>
      <c r="G59" s="193">
        <f t="shared" ref="G59" si="32">SUM(G47:G58)</f>
        <v>0</v>
      </c>
      <c r="H59" s="193">
        <f t="shared" ref="H59" si="33">SUM(H47:H58)</f>
        <v>0</v>
      </c>
      <c r="I59" s="243">
        <f t="shared" ref="I59" si="34">SUM(I47:I58)</f>
        <v>0</v>
      </c>
      <c r="J59" s="193">
        <f t="shared" ref="J59" si="35">SUM(J47:J58)</f>
        <v>0</v>
      </c>
      <c r="K59" s="193">
        <f t="shared" ref="K59" si="36">SUM(K47:K58)</f>
        <v>0</v>
      </c>
      <c r="L59" s="193">
        <f t="shared" ref="L59" si="37">SUM(L47:L58)</f>
        <v>0</v>
      </c>
      <c r="M59" s="193">
        <f t="shared" ref="M59" si="38">SUM(M47:M58)</f>
        <v>0</v>
      </c>
      <c r="N59" s="193">
        <f t="shared" ref="N59" si="39">SUM(N47:N58)</f>
        <v>0</v>
      </c>
      <c r="O59" s="193">
        <f t="shared" ref="O59" si="40">SUM(O47:O58)</f>
        <v>0</v>
      </c>
      <c r="P59" s="193">
        <f t="shared" ref="P59" si="41">SUM(P47:P58)</f>
        <v>0</v>
      </c>
      <c r="Q59" s="194">
        <f t="shared" ref="Q59" si="42">SUM(Q47:Q58)</f>
        <v>0</v>
      </c>
    </row>
    <row r="60" spans="2:17" x14ac:dyDescent="0.25">
      <c r="B60" s="380">
        <v>5</v>
      </c>
      <c r="C60" s="381" t="s">
        <v>21</v>
      </c>
      <c r="D60" s="189" t="s">
        <v>56</v>
      </c>
      <c r="E60" s="6"/>
      <c r="F60" s="6"/>
      <c r="G60" s="6"/>
      <c r="H60" s="6"/>
      <c r="I60" s="242"/>
      <c r="J60" s="6"/>
      <c r="K60" s="6"/>
      <c r="L60" s="6"/>
      <c r="M60" s="6"/>
      <c r="N60" s="6"/>
      <c r="O60" s="6"/>
      <c r="P60" s="6"/>
      <c r="Q60" s="190"/>
    </row>
    <row r="61" spans="2:17" x14ac:dyDescent="0.25">
      <c r="B61" s="380"/>
      <c r="C61" s="381"/>
      <c r="D61" s="189" t="s">
        <v>57</v>
      </c>
      <c r="E61" s="6"/>
      <c r="F61" s="6"/>
      <c r="G61" s="6"/>
      <c r="H61" s="6"/>
      <c r="I61" s="242"/>
      <c r="J61" s="6"/>
      <c r="K61" s="6">
        <v>0</v>
      </c>
      <c r="L61" s="6"/>
      <c r="M61" s="6"/>
      <c r="N61" s="6"/>
      <c r="O61" s="6"/>
      <c r="P61" s="6"/>
      <c r="Q61" s="190"/>
    </row>
    <row r="62" spans="2:17" x14ac:dyDescent="0.25">
      <c r="B62" s="380"/>
      <c r="C62" s="381"/>
      <c r="D62" s="189" t="s">
        <v>58</v>
      </c>
      <c r="E62" s="6"/>
      <c r="F62" s="6"/>
      <c r="G62" s="6"/>
      <c r="H62" s="6"/>
      <c r="I62" s="242"/>
      <c r="J62" s="6"/>
      <c r="K62" s="6"/>
      <c r="L62" s="6"/>
      <c r="M62" s="6"/>
      <c r="N62" s="6"/>
      <c r="O62" s="6"/>
      <c r="P62" s="6"/>
      <c r="Q62" s="190"/>
    </row>
    <row r="63" spans="2:17" x14ac:dyDescent="0.25">
      <c r="B63" s="380"/>
      <c r="C63" s="381"/>
      <c r="D63" s="189" t="s">
        <v>59</v>
      </c>
      <c r="E63" s="6"/>
      <c r="F63" s="6"/>
      <c r="G63" s="6"/>
      <c r="H63" s="6"/>
      <c r="I63" s="242"/>
      <c r="J63" s="6"/>
      <c r="K63" s="6"/>
      <c r="L63" s="6"/>
      <c r="M63" s="6"/>
      <c r="N63" s="6"/>
      <c r="O63" s="6"/>
      <c r="P63" s="6"/>
      <c r="Q63" s="190"/>
    </row>
    <row r="64" spans="2:17" x14ac:dyDescent="0.25">
      <c r="B64" s="380"/>
      <c r="C64" s="381"/>
      <c r="D64" s="189" t="s">
        <v>60</v>
      </c>
      <c r="E64" s="6"/>
      <c r="F64" s="6"/>
      <c r="G64" s="6"/>
      <c r="H64" s="6"/>
      <c r="I64" s="242"/>
      <c r="J64" s="6"/>
      <c r="K64" s="6"/>
      <c r="L64" s="6"/>
      <c r="M64" s="6"/>
      <c r="N64" s="6"/>
      <c r="O64" s="6"/>
      <c r="P64" s="6"/>
      <c r="Q64" s="190"/>
    </row>
    <row r="65" spans="2:17" x14ac:dyDescent="0.25">
      <c r="B65" s="380"/>
      <c r="C65" s="381"/>
      <c r="D65" s="189" t="s">
        <v>61</v>
      </c>
      <c r="E65" s="6"/>
      <c r="F65" s="6"/>
      <c r="G65" s="6"/>
      <c r="H65" s="6"/>
      <c r="I65" s="242"/>
      <c r="J65" s="6"/>
      <c r="K65" s="6"/>
      <c r="L65" s="6"/>
      <c r="M65" s="6"/>
      <c r="N65" s="6"/>
      <c r="O65" s="6"/>
      <c r="P65" s="6"/>
      <c r="Q65" s="190"/>
    </row>
    <row r="66" spans="2:17" x14ac:dyDescent="0.25">
      <c r="B66" s="380"/>
      <c r="C66" s="381"/>
      <c r="D66" s="189" t="s">
        <v>62</v>
      </c>
      <c r="E66" s="191">
        <f>1+3+4+4+1</f>
        <v>13</v>
      </c>
      <c r="F66" s="6"/>
      <c r="G66" s="6"/>
      <c r="H66" s="6"/>
      <c r="I66" s="242"/>
      <c r="J66" s="6"/>
      <c r="K66" s="6"/>
      <c r="L66" s="6"/>
      <c r="M66" s="6"/>
      <c r="N66" s="6"/>
      <c r="O66" s="6"/>
      <c r="P66" s="191">
        <v>1</v>
      </c>
      <c r="Q66" s="190"/>
    </row>
    <row r="67" spans="2:17" x14ac:dyDescent="0.25">
      <c r="B67" s="380"/>
      <c r="C67" s="381"/>
      <c r="D67" s="189" t="s">
        <v>63</v>
      </c>
      <c r="E67" s="191">
        <f>53+4+1+5+4</f>
        <v>67</v>
      </c>
      <c r="F67" s="6"/>
      <c r="G67" s="6"/>
      <c r="H67" s="6"/>
      <c r="I67" s="242"/>
      <c r="J67" s="6"/>
      <c r="K67" s="6"/>
      <c r="L67" s="6"/>
      <c r="M67" s="6"/>
      <c r="N67" s="6"/>
      <c r="O67" s="6"/>
      <c r="P67" s="6"/>
      <c r="Q67" s="190"/>
    </row>
    <row r="68" spans="2:17" x14ac:dyDescent="0.25">
      <c r="B68" s="380"/>
      <c r="C68" s="381"/>
      <c r="D68" s="189" t="s">
        <v>64</v>
      </c>
      <c r="E68" s="191">
        <f>37+40+10+1</f>
        <v>88</v>
      </c>
      <c r="F68" s="6"/>
      <c r="G68" s="6"/>
      <c r="H68" s="6"/>
      <c r="I68" s="242"/>
      <c r="J68" s="6"/>
      <c r="K68" s="6"/>
      <c r="L68" s="6"/>
      <c r="M68" s="6"/>
      <c r="N68" s="6"/>
      <c r="O68" s="6"/>
      <c r="P68" s="6"/>
      <c r="Q68" s="190"/>
    </row>
    <row r="69" spans="2:17" x14ac:dyDescent="0.25">
      <c r="B69" s="380"/>
      <c r="C69" s="381"/>
      <c r="D69" s="189" t="s">
        <v>65</v>
      </c>
      <c r="E69" s="191">
        <f>1+2</f>
        <v>3</v>
      </c>
      <c r="F69" s="6"/>
      <c r="G69" s="6"/>
      <c r="H69" s="6"/>
      <c r="I69" s="242"/>
      <c r="J69" s="6"/>
      <c r="K69" s="6"/>
      <c r="L69" s="6"/>
      <c r="M69" s="6"/>
      <c r="N69" s="6"/>
      <c r="O69" s="6"/>
      <c r="P69" s="6"/>
      <c r="Q69" s="190"/>
    </row>
    <row r="70" spans="2:17" x14ac:dyDescent="0.25">
      <c r="B70" s="380"/>
      <c r="C70" s="381"/>
      <c r="D70" s="189" t="s">
        <v>66</v>
      </c>
      <c r="E70" s="6"/>
      <c r="F70" s="6"/>
      <c r="G70" s="6"/>
      <c r="H70" s="6"/>
      <c r="I70" s="242"/>
      <c r="J70" s="6"/>
      <c r="K70" s="6"/>
      <c r="L70" s="6"/>
      <c r="M70" s="6"/>
      <c r="N70" s="6"/>
      <c r="O70" s="6"/>
      <c r="P70" s="6"/>
      <c r="Q70" s="190"/>
    </row>
    <row r="71" spans="2:17" x14ac:dyDescent="0.25">
      <c r="B71" s="380"/>
      <c r="C71" s="381"/>
      <c r="D71" s="189" t="s">
        <v>67</v>
      </c>
      <c r="E71" s="6"/>
      <c r="F71" s="6"/>
      <c r="G71" s="6"/>
      <c r="H71" s="6"/>
      <c r="I71" s="242"/>
      <c r="J71" s="6"/>
      <c r="K71" s="6"/>
      <c r="L71" s="6"/>
      <c r="M71" s="6"/>
      <c r="N71" s="6"/>
      <c r="O71" s="6"/>
      <c r="P71" s="6"/>
      <c r="Q71" s="190"/>
    </row>
    <row r="72" spans="2:17" x14ac:dyDescent="0.25">
      <c r="B72" s="377" t="s">
        <v>15</v>
      </c>
      <c r="C72" s="378"/>
      <c r="D72" s="379"/>
      <c r="E72" s="193">
        <f>SUM(E60:E71)</f>
        <v>171</v>
      </c>
      <c r="F72" s="193">
        <f t="shared" ref="F72" si="43">SUM(F60:F71)</f>
        <v>0</v>
      </c>
      <c r="G72" s="193">
        <f t="shared" ref="G72" si="44">SUM(G60:G71)</f>
        <v>0</v>
      </c>
      <c r="H72" s="193">
        <f t="shared" ref="H72" si="45">SUM(H60:H71)</f>
        <v>0</v>
      </c>
      <c r="I72" s="243">
        <f t="shared" ref="I72" si="46">SUM(I60:I71)</f>
        <v>0</v>
      </c>
      <c r="J72" s="193">
        <f t="shared" ref="J72" si="47">SUM(J60:J71)</f>
        <v>0</v>
      </c>
      <c r="K72" s="193">
        <f t="shared" ref="K72" si="48">SUM(K60:K71)</f>
        <v>0</v>
      </c>
      <c r="L72" s="193">
        <f t="shared" ref="L72" si="49">SUM(L60:L71)</f>
        <v>0</v>
      </c>
      <c r="M72" s="193">
        <f t="shared" ref="M72" si="50">SUM(M60:M71)</f>
        <v>0</v>
      </c>
      <c r="N72" s="193">
        <f t="shared" ref="N72" si="51">SUM(N60:N71)</f>
        <v>0</v>
      </c>
      <c r="O72" s="193">
        <f t="shared" ref="O72" si="52">SUM(O60:O71)</f>
        <v>0</v>
      </c>
      <c r="P72" s="193">
        <f t="shared" ref="P72" si="53">SUM(P60:P71)</f>
        <v>1</v>
      </c>
      <c r="Q72" s="194">
        <f t="shared" ref="Q72" si="54">SUM(Q60:Q71)</f>
        <v>0</v>
      </c>
    </row>
    <row r="73" spans="2:17" x14ac:dyDescent="0.25">
      <c r="B73" s="380">
        <v>6</v>
      </c>
      <c r="C73" s="381" t="s">
        <v>22</v>
      </c>
      <c r="D73" s="189" t="s">
        <v>56</v>
      </c>
      <c r="E73" s="191">
        <v>1</v>
      </c>
      <c r="F73" s="6"/>
      <c r="G73" s="6"/>
      <c r="H73" s="6"/>
      <c r="I73" s="242"/>
      <c r="J73" s="6"/>
      <c r="K73" s="6"/>
      <c r="L73" s="6"/>
      <c r="M73" s="6"/>
      <c r="N73" s="6"/>
      <c r="O73" s="6"/>
      <c r="P73" s="6"/>
      <c r="Q73" s="190"/>
    </row>
    <row r="74" spans="2:17" x14ac:dyDescent="0.25">
      <c r="B74" s="380"/>
      <c r="C74" s="381"/>
      <c r="D74" s="189" t="s">
        <v>57</v>
      </c>
      <c r="E74" s="6"/>
      <c r="F74" s="6"/>
      <c r="G74" s="6"/>
      <c r="H74" s="6"/>
      <c r="I74" s="242"/>
      <c r="J74" s="6"/>
      <c r="K74" s="6">
        <v>0</v>
      </c>
      <c r="L74" s="6"/>
      <c r="M74" s="6"/>
      <c r="N74" s="6"/>
      <c r="O74" s="6"/>
      <c r="P74" s="6"/>
      <c r="Q74" s="190"/>
    </row>
    <row r="75" spans="2:17" x14ac:dyDescent="0.25">
      <c r="B75" s="380"/>
      <c r="C75" s="381"/>
      <c r="D75" s="189" t="s">
        <v>58</v>
      </c>
      <c r="E75" s="191">
        <v>1</v>
      </c>
      <c r="F75" s="6"/>
      <c r="G75" s="6"/>
      <c r="H75" s="6"/>
      <c r="I75" s="242"/>
      <c r="J75" s="6"/>
      <c r="K75" s="191">
        <v>1</v>
      </c>
      <c r="L75" s="6"/>
      <c r="M75" s="6"/>
      <c r="N75" s="6"/>
      <c r="O75" s="6"/>
      <c r="P75" s="6"/>
      <c r="Q75" s="190"/>
    </row>
    <row r="76" spans="2:17" x14ac:dyDescent="0.25">
      <c r="B76" s="380"/>
      <c r="C76" s="381"/>
      <c r="D76" s="189" t="s">
        <v>59</v>
      </c>
      <c r="E76" s="6"/>
      <c r="F76" s="6"/>
      <c r="G76" s="6"/>
      <c r="H76" s="6"/>
      <c r="I76" s="242"/>
      <c r="J76" s="6"/>
      <c r="K76" s="6"/>
      <c r="L76" s="6"/>
      <c r="M76" s="6"/>
      <c r="N76" s="6"/>
      <c r="O76" s="6"/>
      <c r="P76" s="6"/>
      <c r="Q76" s="190"/>
    </row>
    <row r="77" spans="2:17" x14ac:dyDescent="0.25">
      <c r="B77" s="380"/>
      <c r="C77" s="381"/>
      <c r="D77" s="189" t="s">
        <v>60</v>
      </c>
      <c r="E77" s="6"/>
      <c r="F77" s="6"/>
      <c r="G77" s="6"/>
      <c r="H77" s="6"/>
      <c r="I77" s="242"/>
      <c r="J77" s="6"/>
      <c r="K77" s="6"/>
      <c r="L77" s="6"/>
      <c r="M77" s="6"/>
      <c r="N77" s="6"/>
      <c r="O77" s="6"/>
      <c r="P77" s="6"/>
      <c r="Q77" s="190"/>
    </row>
    <row r="78" spans="2:17" x14ac:dyDescent="0.25">
      <c r="B78" s="380"/>
      <c r="C78" s="381"/>
      <c r="D78" s="189" t="s">
        <v>61</v>
      </c>
      <c r="E78" s="6"/>
      <c r="F78" s="6"/>
      <c r="G78" s="6"/>
      <c r="H78" s="6"/>
      <c r="I78" s="242"/>
      <c r="J78" s="6"/>
      <c r="K78" s="6"/>
      <c r="L78" s="6"/>
      <c r="M78" s="6"/>
      <c r="N78" s="6"/>
      <c r="O78" s="6"/>
      <c r="P78" s="6"/>
      <c r="Q78" s="190"/>
    </row>
    <row r="79" spans="2:17" x14ac:dyDescent="0.25">
      <c r="B79" s="380"/>
      <c r="C79" s="381"/>
      <c r="D79" s="189" t="s">
        <v>62</v>
      </c>
      <c r="E79" s="191">
        <f>3+1+5</f>
        <v>9</v>
      </c>
      <c r="F79" s="6"/>
      <c r="G79" s="6"/>
      <c r="H79" s="6"/>
      <c r="I79" s="242"/>
      <c r="J79" s="6"/>
      <c r="K79" s="6"/>
      <c r="L79" s="6"/>
      <c r="M79" s="6"/>
      <c r="N79" s="6"/>
      <c r="O79" s="6"/>
      <c r="P79" s="6"/>
      <c r="Q79" s="190"/>
    </row>
    <row r="80" spans="2:17" x14ac:dyDescent="0.25">
      <c r="B80" s="380"/>
      <c r="C80" s="381"/>
      <c r="D80" s="189" t="s">
        <v>63</v>
      </c>
      <c r="E80" s="6"/>
      <c r="F80" s="6"/>
      <c r="G80" s="6"/>
      <c r="H80" s="6"/>
      <c r="I80" s="242"/>
      <c r="J80" s="6"/>
      <c r="K80" s="6"/>
      <c r="L80" s="6"/>
      <c r="M80" s="6"/>
      <c r="N80" s="6"/>
      <c r="O80" s="6"/>
      <c r="P80" s="6"/>
      <c r="Q80" s="190"/>
    </row>
    <row r="81" spans="2:17" x14ac:dyDescent="0.25">
      <c r="B81" s="380"/>
      <c r="C81" s="381"/>
      <c r="D81" s="189" t="s">
        <v>64</v>
      </c>
      <c r="E81" s="191">
        <f>64+81</f>
        <v>145</v>
      </c>
      <c r="F81" s="6"/>
      <c r="G81" s="6"/>
      <c r="H81" s="6"/>
      <c r="I81" s="242"/>
      <c r="J81" s="6"/>
      <c r="K81" s="6"/>
      <c r="L81" s="6"/>
      <c r="M81" s="6"/>
      <c r="N81" s="6"/>
      <c r="O81" s="6"/>
      <c r="P81" s="6"/>
      <c r="Q81" s="190"/>
    </row>
    <row r="82" spans="2:17" x14ac:dyDescent="0.25">
      <c r="B82" s="380"/>
      <c r="C82" s="381"/>
      <c r="D82" s="189" t="s">
        <v>65</v>
      </c>
      <c r="E82" s="6"/>
      <c r="F82" s="6"/>
      <c r="G82" s="6"/>
      <c r="H82" s="6"/>
      <c r="I82" s="242"/>
      <c r="J82" s="6"/>
      <c r="K82" s="6"/>
      <c r="L82" s="6"/>
      <c r="M82" s="6"/>
      <c r="N82" s="6"/>
      <c r="O82" s="6"/>
      <c r="P82" s="6"/>
      <c r="Q82" s="190"/>
    </row>
    <row r="83" spans="2:17" x14ac:dyDescent="0.25">
      <c r="B83" s="380"/>
      <c r="C83" s="381"/>
      <c r="D83" s="189" t="s">
        <v>66</v>
      </c>
      <c r="E83" s="6"/>
      <c r="F83" s="6"/>
      <c r="G83" s="6"/>
      <c r="H83" s="6"/>
      <c r="I83" s="242"/>
      <c r="J83" s="6"/>
      <c r="K83" s="6"/>
      <c r="L83" s="6"/>
      <c r="M83" s="6"/>
      <c r="N83" s="6"/>
      <c r="O83" s="6"/>
      <c r="P83" s="6"/>
      <c r="Q83" s="190"/>
    </row>
    <row r="84" spans="2:17" x14ac:dyDescent="0.25">
      <c r="B84" s="380"/>
      <c r="C84" s="381"/>
      <c r="D84" s="189" t="s">
        <v>67</v>
      </c>
      <c r="E84" s="6"/>
      <c r="F84" s="6"/>
      <c r="G84" s="6"/>
      <c r="H84" s="6"/>
      <c r="I84" s="242"/>
      <c r="J84" s="6"/>
      <c r="K84" s="6"/>
      <c r="L84" s="6"/>
      <c r="M84" s="6"/>
      <c r="N84" s="6"/>
      <c r="O84" s="6"/>
      <c r="P84" s="6"/>
      <c r="Q84" s="190"/>
    </row>
    <row r="85" spans="2:17" x14ac:dyDescent="0.25">
      <c r="B85" s="377" t="s">
        <v>15</v>
      </c>
      <c r="C85" s="378"/>
      <c r="D85" s="379"/>
      <c r="E85" s="193">
        <f>SUM(E73:E84)</f>
        <v>156</v>
      </c>
      <c r="F85" s="193">
        <f t="shared" ref="F85" si="55">SUM(F73:F84)</f>
        <v>0</v>
      </c>
      <c r="G85" s="193">
        <f t="shared" ref="G85" si="56">SUM(G73:G84)</f>
        <v>0</v>
      </c>
      <c r="H85" s="193">
        <f t="shared" ref="H85" si="57">SUM(H73:H84)</f>
        <v>0</v>
      </c>
      <c r="I85" s="243">
        <f t="shared" ref="I85" si="58">SUM(I73:I84)</f>
        <v>0</v>
      </c>
      <c r="J85" s="193">
        <f t="shared" ref="J85" si="59">SUM(J73:J84)</f>
        <v>0</v>
      </c>
      <c r="K85" s="193">
        <f t="shared" ref="K85" si="60">SUM(K73:K84)</f>
        <v>1</v>
      </c>
      <c r="L85" s="193">
        <f t="shared" ref="L85" si="61">SUM(L73:L84)</f>
        <v>0</v>
      </c>
      <c r="M85" s="193">
        <f t="shared" ref="M85" si="62">SUM(M73:M84)</f>
        <v>0</v>
      </c>
      <c r="N85" s="193">
        <f t="shared" ref="N85" si="63">SUM(N73:N84)</f>
        <v>0</v>
      </c>
      <c r="O85" s="193">
        <f t="shared" ref="O85" si="64">SUM(O73:O84)</f>
        <v>0</v>
      </c>
      <c r="P85" s="193">
        <f t="shared" ref="P85" si="65">SUM(P73:P84)</f>
        <v>0</v>
      </c>
      <c r="Q85" s="194">
        <f t="shared" ref="Q85" si="66">SUM(Q73:Q84)</f>
        <v>0</v>
      </c>
    </row>
    <row r="86" spans="2:17" x14ac:dyDescent="0.25">
      <c r="B86" s="380">
        <v>7</v>
      </c>
      <c r="C86" s="381" t="s">
        <v>18</v>
      </c>
      <c r="D86" s="189" t="s">
        <v>56</v>
      </c>
      <c r="E86" s="191">
        <f>41+631</f>
        <v>672</v>
      </c>
      <c r="F86" s="191">
        <v>1</v>
      </c>
      <c r="G86" s="6"/>
      <c r="H86" s="6"/>
      <c r="I86" s="244">
        <v>1</v>
      </c>
      <c r="J86" s="191">
        <f>2+52</f>
        <v>54</v>
      </c>
      <c r="K86" s="191">
        <f>5+18</f>
        <v>23</v>
      </c>
      <c r="L86" s="191">
        <v>1</v>
      </c>
      <c r="M86" s="6"/>
      <c r="N86" s="6"/>
      <c r="O86" s="6"/>
      <c r="P86" s="6"/>
      <c r="Q86" s="190"/>
    </row>
    <row r="87" spans="2:17" x14ac:dyDescent="0.25">
      <c r="B87" s="380"/>
      <c r="C87" s="381"/>
      <c r="D87" s="189" t="s">
        <v>57</v>
      </c>
      <c r="E87" s="6"/>
      <c r="F87" s="6"/>
      <c r="G87" s="6"/>
      <c r="H87" s="6"/>
      <c r="I87" s="242"/>
      <c r="J87" s="6"/>
      <c r="K87" s="6">
        <v>0</v>
      </c>
      <c r="L87" s="6"/>
      <c r="M87" s="6"/>
      <c r="N87" s="6"/>
      <c r="O87" s="6"/>
      <c r="P87" s="6"/>
      <c r="Q87" s="190"/>
    </row>
    <row r="88" spans="2:17" x14ac:dyDescent="0.25">
      <c r="B88" s="380"/>
      <c r="C88" s="381"/>
      <c r="D88" s="189" t="s">
        <v>58</v>
      </c>
      <c r="E88" s="191">
        <f>3+3</f>
        <v>6</v>
      </c>
      <c r="F88" s="6"/>
      <c r="G88" s="6"/>
      <c r="H88" s="6"/>
      <c r="I88" s="242"/>
      <c r="J88" s="191">
        <f>3+94+30</f>
        <v>127</v>
      </c>
      <c r="K88" s="6"/>
      <c r="L88" s="6"/>
      <c r="M88" s="6"/>
      <c r="N88" s="6"/>
      <c r="O88" s="6"/>
      <c r="P88" s="6"/>
      <c r="Q88" s="190"/>
    </row>
    <row r="89" spans="2:17" x14ac:dyDescent="0.25">
      <c r="B89" s="380"/>
      <c r="C89" s="381"/>
      <c r="D89" s="189" t="s">
        <v>59</v>
      </c>
      <c r="E89" s="6"/>
      <c r="F89" s="6"/>
      <c r="G89" s="6"/>
      <c r="H89" s="6"/>
      <c r="I89" s="242"/>
      <c r="J89" s="6"/>
      <c r="K89" s="6"/>
      <c r="L89" s="6"/>
      <c r="M89" s="6"/>
      <c r="N89" s="6"/>
      <c r="O89" s="6"/>
      <c r="P89" s="6"/>
      <c r="Q89" s="190"/>
    </row>
    <row r="90" spans="2:17" x14ac:dyDescent="0.25">
      <c r="B90" s="380"/>
      <c r="C90" s="381"/>
      <c r="D90" s="189" t="s">
        <v>60</v>
      </c>
      <c r="E90" s="6"/>
      <c r="F90" s="6"/>
      <c r="G90" s="6"/>
      <c r="H90" s="6"/>
      <c r="I90" s="242"/>
      <c r="J90" s="6"/>
      <c r="K90" s="6"/>
      <c r="L90" s="6"/>
      <c r="M90" s="6"/>
      <c r="N90" s="6"/>
      <c r="O90" s="6"/>
      <c r="P90" s="6"/>
      <c r="Q90" s="190"/>
    </row>
    <row r="91" spans="2:17" x14ac:dyDescent="0.25">
      <c r="B91" s="380"/>
      <c r="C91" s="381"/>
      <c r="D91" s="189" t="s">
        <v>61</v>
      </c>
      <c r="E91" s="6"/>
      <c r="F91" s="6"/>
      <c r="G91" s="6"/>
      <c r="H91" s="6"/>
      <c r="I91" s="242"/>
      <c r="J91" s="6"/>
      <c r="K91" s="6"/>
      <c r="L91" s="6"/>
      <c r="M91" s="6"/>
      <c r="N91" s="6"/>
      <c r="O91" s="6"/>
      <c r="P91" s="6"/>
      <c r="Q91" s="190"/>
    </row>
    <row r="92" spans="2:17" x14ac:dyDescent="0.25">
      <c r="B92" s="380"/>
      <c r="C92" s="381"/>
      <c r="D92" s="189" t="s">
        <v>62</v>
      </c>
      <c r="E92" s="6"/>
      <c r="F92" s="6"/>
      <c r="G92" s="6"/>
      <c r="H92" s="6"/>
      <c r="I92" s="242"/>
      <c r="J92" s="6"/>
      <c r="K92" s="6"/>
      <c r="L92" s="6"/>
      <c r="M92" s="6"/>
      <c r="N92" s="6"/>
      <c r="O92" s="6"/>
      <c r="P92" s="6"/>
      <c r="Q92" s="190"/>
    </row>
    <row r="93" spans="2:17" x14ac:dyDescent="0.25">
      <c r="B93" s="380"/>
      <c r="C93" s="381"/>
      <c r="D93" s="189" t="s">
        <v>63</v>
      </c>
      <c r="E93" s="191">
        <f>3+1</f>
        <v>4</v>
      </c>
      <c r="F93" s="191">
        <v>1</v>
      </c>
      <c r="G93" s="6"/>
      <c r="H93" s="6"/>
      <c r="I93" s="242"/>
      <c r="J93" s="191">
        <v>1</v>
      </c>
      <c r="K93" s="6"/>
      <c r="L93" s="6"/>
      <c r="M93" s="6"/>
      <c r="N93" s="6"/>
      <c r="O93" s="6"/>
      <c r="P93" s="6"/>
      <c r="Q93" s="190"/>
    </row>
    <row r="94" spans="2:17" x14ac:dyDescent="0.25">
      <c r="B94" s="380"/>
      <c r="C94" s="381"/>
      <c r="D94" s="189" t="s">
        <v>64</v>
      </c>
      <c r="E94" s="6"/>
      <c r="F94" s="6"/>
      <c r="G94" s="6"/>
      <c r="H94" s="6"/>
      <c r="I94" s="242"/>
      <c r="J94" s="6"/>
      <c r="K94" s="6"/>
      <c r="L94" s="6"/>
      <c r="M94" s="6"/>
      <c r="N94" s="6"/>
      <c r="O94" s="6"/>
      <c r="P94" s="6"/>
      <c r="Q94" s="190"/>
    </row>
    <row r="95" spans="2:17" x14ac:dyDescent="0.25">
      <c r="B95" s="380"/>
      <c r="C95" s="381"/>
      <c r="D95" s="189" t="s">
        <v>65</v>
      </c>
      <c r="E95" s="6"/>
      <c r="F95" s="6"/>
      <c r="G95" s="6"/>
      <c r="H95" s="6"/>
      <c r="I95" s="242"/>
      <c r="J95" s="6"/>
      <c r="K95" s="6"/>
      <c r="L95" s="6"/>
      <c r="M95" s="6"/>
      <c r="N95" s="6"/>
      <c r="O95" s="6"/>
      <c r="P95" s="6"/>
      <c r="Q95" s="190"/>
    </row>
    <row r="96" spans="2:17" x14ac:dyDescent="0.25">
      <c r="B96" s="380"/>
      <c r="C96" s="381"/>
      <c r="D96" s="189" t="s">
        <v>66</v>
      </c>
      <c r="E96" s="6"/>
      <c r="F96" s="6"/>
      <c r="G96" s="6"/>
      <c r="H96" s="6"/>
      <c r="I96" s="242"/>
      <c r="J96" s="6"/>
      <c r="K96" s="6"/>
      <c r="L96" s="6"/>
      <c r="M96" s="191">
        <v>2</v>
      </c>
      <c r="N96" s="6"/>
      <c r="O96" s="6"/>
      <c r="P96" s="6"/>
      <c r="Q96" s="190"/>
    </row>
    <row r="97" spans="2:17" x14ac:dyDescent="0.25">
      <c r="B97" s="380"/>
      <c r="C97" s="381"/>
      <c r="D97" s="189" t="s">
        <v>67</v>
      </c>
      <c r="E97" s="6"/>
      <c r="F97" s="6"/>
      <c r="G97" s="6"/>
      <c r="H97" s="6"/>
      <c r="I97" s="242"/>
      <c r="J97" s="6"/>
      <c r="K97" s="6"/>
      <c r="L97" s="6"/>
      <c r="M97" s="6"/>
      <c r="N97" s="6"/>
      <c r="O97" s="6"/>
      <c r="P97" s="6"/>
      <c r="Q97" s="190"/>
    </row>
    <row r="98" spans="2:17" x14ac:dyDescent="0.25">
      <c r="B98" s="377" t="s">
        <v>15</v>
      </c>
      <c r="C98" s="378"/>
      <c r="D98" s="379"/>
      <c r="E98" s="193">
        <f>SUM(E86:E97)</f>
        <v>682</v>
      </c>
      <c r="F98" s="193">
        <f t="shared" ref="F98" si="67">SUM(F86:F97)</f>
        <v>2</v>
      </c>
      <c r="G98" s="193">
        <f t="shared" ref="G98" si="68">SUM(G86:G97)</f>
        <v>0</v>
      </c>
      <c r="H98" s="193">
        <f t="shared" ref="H98" si="69">SUM(H86:H97)</f>
        <v>0</v>
      </c>
      <c r="I98" s="243">
        <f t="shared" ref="I98" si="70">SUM(I86:I97)</f>
        <v>1</v>
      </c>
      <c r="J98" s="193">
        <f t="shared" ref="J98" si="71">SUM(J86:J97)</f>
        <v>182</v>
      </c>
      <c r="K98" s="193">
        <f t="shared" ref="K98" si="72">SUM(K86:K97)</f>
        <v>23</v>
      </c>
      <c r="L98" s="193">
        <f t="shared" ref="L98" si="73">SUM(L86:L97)</f>
        <v>1</v>
      </c>
      <c r="M98" s="193">
        <f t="shared" ref="M98" si="74">SUM(M86:M97)</f>
        <v>2</v>
      </c>
      <c r="N98" s="193">
        <f t="shared" ref="N98" si="75">SUM(N86:N97)</f>
        <v>0</v>
      </c>
      <c r="O98" s="193">
        <f t="shared" ref="O98" si="76">SUM(O86:O97)</f>
        <v>0</v>
      </c>
      <c r="P98" s="193">
        <f t="shared" ref="P98" si="77">SUM(P86:P97)</f>
        <v>0</v>
      </c>
      <c r="Q98" s="194">
        <f t="shared" ref="Q98" si="78">SUM(Q86:Q97)</f>
        <v>0</v>
      </c>
    </row>
    <row r="99" spans="2:17" x14ac:dyDescent="0.25">
      <c r="B99" s="380">
        <v>8</v>
      </c>
      <c r="C99" s="381" t="s">
        <v>24</v>
      </c>
      <c r="D99" s="189" t="s">
        <v>56</v>
      </c>
      <c r="E99" s="6"/>
      <c r="F99" s="6"/>
      <c r="G99" s="6"/>
      <c r="H99" s="6"/>
      <c r="I99" s="242"/>
      <c r="J99" s="6"/>
      <c r="K99" s="6"/>
      <c r="L99" s="6"/>
      <c r="M99" s="6"/>
      <c r="N99" s="6"/>
      <c r="O99" s="6"/>
      <c r="P99" s="6"/>
      <c r="Q99" s="190"/>
    </row>
    <row r="100" spans="2:17" x14ac:dyDescent="0.25">
      <c r="B100" s="380"/>
      <c r="C100" s="381"/>
      <c r="D100" s="189" t="s">
        <v>57</v>
      </c>
      <c r="E100" s="6"/>
      <c r="F100" s="6"/>
      <c r="G100" s="6"/>
      <c r="H100" s="6"/>
      <c r="I100" s="242"/>
      <c r="J100" s="6"/>
      <c r="K100" s="6">
        <v>0</v>
      </c>
      <c r="L100" s="6"/>
      <c r="M100" s="6"/>
      <c r="N100" s="6"/>
      <c r="O100" s="6"/>
      <c r="P100" s="6"/>
      <c r="Q100" s="190"/>
    </row>
    <row r="101" spans="2:17" x14ac:dyDescent="0.25">
      <c r="B101" s="380"/>
      <c r="C101" s="381"/>
      <c r="D101" s="189" t="s">
        <v>58</v>
      </c>
      <c r="E101" s="6"/>
      <c r="F101" s="6"/>
      <c r="G101" s="6"/>
      <c r="H101" s="6"/>
      <c r="I101" s="242"/>
      <c r="J101" s="6"/>
      <c r="K101" s="6"/>
      <c r="L101" s="6"/>
      <c r="M101" s="6"/>
      <c r="N101" s="6"/>
      <c r="O101" s="6"/>
      <c r="P101" s="6"/>
      <c r="Q101" s="190"/>
    </row>
    <row r="102" spans="2:17" x14ac:dyDescent="0.25">
      <c r="B102" s="380"/>
      <c r="C102" s="381"/>
      <c r="D102" s="189" t="s">
        <v>59</v>
      </c>
      <c r="E102" s="6"/>
      <c r="F102" s="6"/>
      <c r="G102" s="6"/>
      <c r="H102" s="6"/>
      <c r="I102" s="242"/>
      <c r="J102" s="6"/>
      <c r="K102" s="6"/>
      <c r="L102" s="6"/>
      <c r="M102" s="6"/>
      <c r="N102" s="6"/>
      <c r="O102" s="6"/>
      <c r="P102" s="6"/>
      <c r="Q102" s="190"/>
    </row>
    <row r="103" spans="2:17" x14ac:dyDescent="0.25">
      <c r="B103" s="380"/>
      <c r="C103" s="381"/>
      <c r="D103" s="189" t="s">
        <v>60</v>
      </c>
      <c r="E103" s="6"/>
      <c r="F103" s="6"/>
      <c r="G103" s="6"/>
      <c r="H103" s="6"/>
      <c r="I103" s="242"/>
      <c r="J103" s="6"/>
      <c r="K103" s="6"/>
      <c r="L103" s="6"/>
      <c r="M103" s="6"/>
      <c r="N103" s="6"/>
      <c r="O103" s="6"/>
      <c r="P103" s="6"/>
      <c r="Q103" s="190"/>
    </row>
    <row r="104" spans="2:17" x14ac:dyDescent="0.25">
      <c r="B104" s="380"/>
      <c r="C104" s="381"/>
      <c r="D104" s="189" t="s">
        <v>61</v>
      </c>
      <c r="E104" s="6"/>
      <c r="F104" s="6"/>
      <c r="G104" s="6"/>
      <c r="H104" s="6"/>
      <c r="I104" s="242"/>
      <c r="J104" s="6"/>
      <c r="K104" s="6"/>
      <c r="L104" s="6"/>
      <c r="M104" s="6"/>
      <c r="N104" s="6"/>
      <c r="O104" s="6"/>
      <c r="P104" s="6"/>
      <c r="Q104" s="190"/>
    </row>
    <row r="105" spans="2:17" x14ac:dyDescent="0.25">
      <c r="B105" s="380"/>
      <c r="C105" s="381"/>
      <c r="D105" s="189" t="s">
        <v>62</v>
      </c>
      <c r="E105" s="191">
        <f>3+2+4+13</f>
        <v>22</v>
      </c>
      <c r="F105" s="6"/>
      <c r="G105" s="6"/>
      <c r="H105" s="6"/>
      <c r="I105" s="242"/>
      <c r="J105" s="6"/>
      <c r="K105" s="6"/>
      <c r="L105" s="6"/>
      <c r="M105" s="6"/>
      <c r="N105" s="6"/>
      <c r="O105" s="191">
        <v>1</v>
      </c>
      <c r="P105" s="6"/>
      <c r="Q105" s="190"/>
    </row>
    <row r="106" spans="2:17" x14ac:dyDescent="0.25">
      <c r="B106" s="380"/>
      <c r="C106" s="381"/>
      <c r="D106" s="189" t="s">
        <v>63</v>
      </c>
      <c r="E106" s="191">
        <f>8+5+6</f>
        <v>19</v>
      </c>
      <c r="F106" s="191">
        <v>1</v>
      </c>
      <c r="G106" s="6"/>
      <c r="H106" s="6"/>
      <c r="I106" s="242"/>
      <c r="J106" s="6"/>
      <c r="K106" s="6"/>
      <c r="L106" s="6"/>
      <c r="M106" s="6"/>
      <c r="N106" s="6"/>
      <c r="O106" s="6"/>
      <c r="P106" s="6"/>
      <c r="Q106" s="190"/>
    </row>
    <row r="107" spans="2:17" x14ac:dyDescent="0.25">
      <c r="B107" s="380"/>
      <c r="C107" s="381"/>
      <c r="D107" s="189" t="s">
        <v>64</v>
      </c>
      <c r="E107" s="191">
        <v>4</v>
      </c>
      <c r="F107" s="6"/>
      <c r="G107" s="6"/>
      <c r="H107" s="6"/>
      <c r="I107" s="242"/>
      <c r="J107" s="6"/>
      <c r="K107" s="6"/>
      <c r="L107" s="6"/>
      <c r="M107" s="6"/>
      <c r="N107" s="6"/>
      <c r="O107" s="6"/>
      <c r="P107" s="6"/>
      <c r="Q107" s="190"/>
    </row>
    <row r="108" spans="2:17" x14ac:dyDescent="0.25">
      <c r="B108" s="380"/>
      <c r="C108" s="381"/>
      <c r="D108" s="189" t="s">
        <v>65</v>
      </c>
      <c r="E108" s="6"/>
      <c r="F108" s="6"/>
      <c r="G108" s="6"/>
      <c r="H108" s="6"/>
      <c r="I108" s="242"/>
      <c r="J108" s="6"/>
      <c r="K108" s="6"/>
      <c r="L108" s="6"/>
      <c r="M108" s="6"/>
      <c r="N108" s="6"/>
      <c r="O108" s="6"/>
      <c r="P108" s="6"/>
      <c r="Q108" s="190"/>
    </row>
    <row r="109" spans="2:17" x14ac:dyDescent="0.25">
      <c r="B109" s="380"/>
      <c r="C109" s="381"/>
      <c r="D109" s="189" t="s">
        <v>66</v>
      </c>
      <c r="E109" s="6"/>
      <c r="F109" s="6"/>
      <c r="G109" s="6"/>
      <c r="H109" s="6"/>
      <c r="I109" s="242"/>
      <c r="J109" s="6"/>
      <c r="K109" s="6"/>
      <c r="L109" s="6"/>
      <c r="M109" s="6"/>
      <c r="N109" s="6"/>
      <c r="O109" s="6"/>
      <c r="P109" s="6"/>
      <c r="Q109" s="190"/>
    </row>
    <row r="110" spans="2:17" x14ac:dyDescent="0.25">
      <c r="B110" s="380"/>
      <c r="C110" s="381"/>
      <c r="D110" s="189" t="s">
        <v>67</v>
      </c>
      <c r="E110" s="6"/>
      <c r="F110" s="6"/>
      <c r="G110" s="6"/>
      <c r="H110" s="6"/>
      <c r="I110" s="242"/>
      <c r="J110" s="6"/>
      <c r="K110" s="191">
        <v>4820</v>
      </c>
      <c r="L110" s="6"/>
      <c r="M110" s="6"/>
      <c r="N110" s="6"/>
      <c r="O110" s="6"/>
      <c r="P110" s="6"/>
      <c r="Q110" s="190"/>
    </row>
    <row r="111" spans="2:17" x14ac:dyDescent="0.25">
      <c r="B111" s="377" t="s">
        <v>15</v>
      </c>
      <c r="C111" s="378"/>
      <c r="D111" s="379"/>
      <c r="E111" s="193">
        <f>SUM(E99:E110)</f>
        <v>45</v>
      </c>
      <c r="F111" s="193">
        <f t="shared" ref="F111" si="79">SUM(F99:F110)</f>
        <v>1</v>
      </c>
      <c r="G111" s="193">
        <f t="shared" ref="G111" si="80">SUM(G99:G110)</f>
        <v>0</v>
      </c>
      <c r="H111" s="193">
        <f t="shared" ref="H111" si="81">SUM(H99:H110)</f>
        <v>0</v>
      </c>
      <c r="I111" s="243">
        <f t="shared" ref="I111" si="82">SUM(I99:I110)</f>
        <v>0</v>
      </c>
      <c r="J111" s="193">
        <f t="shared" ref="J111" si="83">SUM(J99:J110)</f>
        <v>0</v>
      </c>
      <c r="K111" s="193">
        <f t="shared" ref="K111" si="84">SUM(K99:K110)</f>
        <v>4820</v>
      </c>
      <c r="L111" s="193">
        <f t="shared" ref="L111" si="85">SUM(L99:L110)</f>
        <v>0</v>
      </c>
      <c r="M111" s="193">
        <f t="shared" ref="M111" si="86">SUM(M99:M110)</f>
        <v>0</v>
      </c>
      <c r="N111" s="193">
        <f t="shared" ref="N111" si="87">SUM(N99:N110)</f>
        <v>0</v>
      </c>
      <c r="O111" s="193">
        <f t="shared" ref="O111" si="88">SUM(O99:O110)</f>
        <v>1</v>
      </c>
      <c r="P111" s="193">
        <f t="shared" ref="P111" si="89">SUM(P99:P110)</f>
        <v>0</v>
      </c>
      <c r="Q111" s="194">
        <f t="shared" ref="Q111" si="90">SUM(Q99:Q110)</f>
        <v>0</v>
      </c>
    </row>
    <row r="112" spans="2:17" x14ac:dyDescent="0.25">
      <c r="B112" s="380">
        <v>9</v>
      </c>
      <c r="C112" s="381" t="s">
        <v>25</v>
      </c>
      <c r="D112" s="189" t="s">
        <v>56</v>
      </c>
      <c r="E112" s="6"/>
      <c r="F112" s="6"/>
      <c r="G112" s="6"/>
      <c r="H112" s="6"/>
      <c r="I112" s="242"/>
      <c r="J112" s="6"/>
      <c r="K112" s="6"/>
      <c r="L112" s="6"/>
      <c r="M112" s="6"/>
      <c r="N112" s="6"/>
      <c r="O112" s="6"/>
      <c r="P112" s="6"/>
      <c r="Q112" s="190"/>
    </row>
    <row r="113" spans="2:17" x14ac:dyDescent="0.25">
      <c r="B113" s="380"/>
      <c r="C113" s="381"/>
      <c r="D113" s="189" t="s">
        <v>57</v>
      </c>
      <c r="E113" s="6"/>
      <c r="F113" s="6"/>
      <c r="G113" s="6"/>
      <c r="H113" s="6"/>
      <c r="I113" s="242"/>
      <c r="J113" s="6"/>
      <c r="K113" s="6">
        <v>0</v>
      </c>
      <c r="L113" s="6"/>
      <c r="M113" s="6"/>
      <c r="N113" s="6"/>
      <c r="O113" s="6"/>
      <c r="P113" s="6"/>
      <c r="Q113" s="190"/>
    </row>
    <row r="114" spans="2:17" x14ac:dyDescent="0.25">
      <c r="B114" s="380"/>
      <c r="C114" s="381"/>
      <c r="D114" s="189" t="s">
        <v>58</v>
      </c>
      <c r="E114" s="6"/>
      <c r="F114" s="6"/>
      <c r="G114" s="6"/>
      <c r="H114" s="6"/>
      <c r="I114" s="242"/>
      <c r="J114" s="6"/>
      <c r="K114" s="6"/>
      <c r="L114" s="6"/>
      <c r="M114" s="6"/>
      <c r="N114" s="6"/>
      <c r="O114" s="6"/>
      <c r="P114" s="6"/>
      <c r="Q114" s="190"/>
    </row>
    <row r="115" spans="2:17" x14ac:dyDescent="0.25">
      <c r="B115" s="380"/>
      <c r="C115" s="381"/>
      <c r="D115" s="189" t="s">
        <v>59</v>
      </c>
      <c r="E115" s="6"/>
      <c r="F115" s="6"/>
      <c r="G115" s="6"/>
      <c r="H115" s="6"/>
      <c r="I115" s="242"/>
      <c r="J115" s="6"/>
      <c r="K115" s="6"/>
      <c r="L115" s="6"/>
      <c r="M115" s="6"/>
      <c r="N115" s="6"/>
      <c r="O115" s="6"/>
      <c r="P115" s="6"/>
      <c r="Q115" s="190"/>
    </row>
    <row r="116" spans="2:17" x14ac:dyDescent="0.25">
      <c r="B116" s="380"/>
      <c r="C116" s="381"/>
      <c r="D116" s="189" t="s">
        <v>60</v>
      </c>
      <c r="E116" s="6"/>
      <c r="F116" s="6"/>
      <c r="G116" s="6"/>
      <c r="H116" s="6"/>
      <c r="I116" s="242"/>
      <c r="J116" s="6"/>
      <c r="K116" s="6"/>
      <c r="L116" s="6"/>
      <c r="M116" s="6"/>
      <c r="N116" s="6"/>
      <c r="O116" s="6"/>
      <c r="P116" s="6"/>
      <c r="Q116" s="190"/>
    </row>
    <row r="117" spans="2:17" x14ac:dyDescent="0.25">
      <c r="B117" s="380"/>
      <c r="C117" s="381"/>
      <c r="D117" s="189" t="s">
        <v>61</v>
      </c>
      <c r="E117" s="6"/>
      <c r="F117" s="6"/>
      <c r="G117" s="6"/>
      <c r="H117" s="6"/>
      <c r="I117" s="242"/>
      <c r="J117" s="6"/>
      <c r="K117" s="6"/>
      <c r="L117" s="6"/>
      <c r="M117" s="6"/>
      <c r="N117" s="6"/>
      <c r="O117" s="6"/>
      <c r="P117" s="6"/>
      <c r="Q117" s="190"/>
    </row>
    <row r="118" spans="2:17" x14ac:dyDescent="0.25">
      <c r="B118" s="380"/>
      <c r="C118" s="381"/>
      <c r="D118" s="189" t="s">
        <v>62</v>
      </c>
      <c r="E118" s="191">
        <f>1+4+2+4+7+4+2</f>
        <v>24</v>
      </c>
      <c r="F118" s="6"/>
      <c r="G118" s="6"/>
      <c r="H118" s="6"/>
      <c r="I118" s="242"/>
      <c r="J118" s="6"/>
      <c r="K118" s="6"/>
      <c r="L118" s="6"/>
      <c r="M118" s="6"/>
      <c r="N118" s="6"/>
      <c r="O118" s="6"/>
      <c r="P118" s="6"/>
      <c r="Q118" s="190"/>
    </row>
    <row r="119" spans="2:17" x14ac:dyDescent="0.25">
      <c r="B119" s="380"/>
      <c r="C119" s="381"/>
      <c r="D119" s="189" t="s">
        <v>63</v>
      </c>
      <c r="E119" s="191">
        <f>10+3+76+27+1</f>
        <v>117</v>
      </c>
      <c r="F119" s="191">
        <v>1</v>
      </c>
      <c r="G119" s="191">
        <v>1</v>
      </c>
      <c r="H119" s="6"/>
      <c r="I119" s="242"/>
      <c r="J119" s="6"/>
      <c r="K119" s="6"/>
      <c r="L119" s="6"/>
      <c r="M119" s="6"/>
      <c r="N119" s="6"/>
      <c r="O119" s="6"/>
      <c r="P119" s="6"/>
      <c r="Q119" s="190"/>
    </row>
    <row r="120" spans="2:17" x14ac:dyDescent="0.25">
      <c r="B120" s="380"/>
      <c r="C120" s="381"/>
      <c r="D120" s="189" t="s">
        <v>64</v>
      </c>
      <c r="E120" s="191">
        <f>76+1</f>
        <v>77</v>
      </c>
      <c r="F120" s="6"/>
      <c r="G120" s="6"/>
      <c r="H120" s="6"/>
      <c r="I120" s="242"/>
      <c r="J120" s="6"/>
      <c r="K120" s="6"/>
      <c r="L120" s="6"/>
      <c r="M120" s="6"/>
      <c r="N120" s="6"/>
      <c r="O120" s="6"/>
      <c r="P120" s="6"/>
      <c r="Q120" s="190"/>
    </row>
    <row r="121" spans="2:17" x14ac:dyDescent="0.25">
      <c r="B121" s="380"/>
      <c r="C121" s="381"/>
      <c r="D121" s="189" t="s">
        <v>65</v>
      </c>
      <c r="E121" s="6"/>
      <c r="F121" s="6"/>
      <c r="G121" s="6"/>
      <c r="H121" s="6"/>
      <c r="I121" s="242"/>
      <c r="J121" s="6"/>
      <c r="K121" s="6"/>
      <c r="L121" s="6"/>
      <c r="M121" s="6"/>
      <c r="N121" s="6"/>
      <c r="O121" s="6"/>
      <c r="P121" s="6"/>
      <c r="Q121" s="190"/>
    </row>
    <row r="122" spans="2:17" x14ac:dyDescent="0.25">
      <c r="B122" s="380"/>
      <c r="C122" s="381"/>
      <c r="D122" s="189" t="s">
        <v>66</v>
      </c>
      <c r="E122" s="6"/>
      <c r="F122" s="6"/>
      <c r="G122" s="6"/>
      <c r="H122" s="6"/>
      <c r="I122" s="242"/>
      <c r="J122" s="6"/>
      <c r="K122" s="6"/>
      <c r="L122" s="6"/>
      <c r="M122" s="6"/>
      <c r="N122" s="6"/>
      <c r="O122" s="6"/>
      <c r="P122" s="6"/>
      <c r="Q122" s="190"/>
    </row>
    <row r="123" spans="2:17" x14ac:dyDescent="0.25">
      <c r="B123" s="380"/>
      <c r="C123" s="381"/>
      <c r="D123" s="189" t="s">
        <v>67</v>
      </c>
      <c r="E123" s="6"/>
      <c r="F123" s="6"/>
      <c r="G123" s="6"/>
      <c r="H123" s="6"/>
      <c r="I123" s="242"/>
      <c r="J123" s="6"/>
      <c r="K123" s="6"/>
      <c r="L123" s="6"/>
      <c r="M123" s="6"/>
      <c r="N123" s="6"/>
      <c r="O123" s="6"/>
      <c r="P123" s="6"/>
      <c r="Q123" s="190"/>
    </row>
    <row r="124" spans="2:17" x14ac:dyDescent="0.25">
      <c r="B124" s="377" t="s">
        <v>15</v>
      </c>
      <c r="C124" s="378"/>
      <c r="D124" s="379"/>
      <c r="E124" s="193">
        <f>SUM(E112:E123)</f>
        <v>218</v>
      </c>
      <c r="F124" s="193">
        <f t="shared" ref="F124" si="91">SUM(F112:F123)</f>
        <v>1</v>
      </c>
      <c r="G124" s="193">
        <f t="shared" ref="G124" si="92">SUM(G112:G123)</f>
        <v>1</v>
      </c>
      <c r="H124" s="193">
        <f t="shared" ref="H124" si="93">SUM(H112:H123)</f>
        <v>0</v>
      </c>
      <c r="I124" s="243">
        <f t="shared" ref="I124" si="94">SUM(I112:I123)</f>
        <v>0</v>
      </c>
      <c r="J124" s="193">
        <f t="shared" ref="J124" si="95">SUM(J112:J123)</f>
        <v>0</v>
      </c>
      <c r="K124" s="193">
        <f t="shared" ref="K124" si="96">SUM(K112:K123)</f>
        <v>0</v>
      </c>
      <c r="L124" s="193">
        <f t="shared" ref="L124" si="97">SUM(L112:L123)</f>
        <v>0</v>
      </c>
      <c r="M124" s="193">
        <f t="shared" ref="M124" si="98">SUM(M112:M123)</f>
        <v>0</v>
      </c>
      <c r="N124" s="193">
        <f t="shared" ref="N124" si="99">SUM(N112:N123)</f>
        <v>0</v>
      </c>
      <c r="O124" s="193">
        <f t="shared" ref="O124" si="100">SUM(O112:O123)</f>
        <v>0</v>
      </c>
      <c r="P124" s="193">
        <f t="shared" ref="P124" si="101">SUM(P112:P123)</f>
        <v>0</v>
      </c>
      <c r="Q124" s="194">
        <f t="shared" ref="Q124" si="102">SUM(Q112:Q123)</f>
        <v>0</v>
      </c>
    </row>
    <row r="125" spans="2:17" x14ac:dyDescent="0.25">
      <c r="B125" s="380">
        <v>10</v>
      </c>
      <c r="C125" s="381" t="s">
        <v>26</v>
      </c>
      <c r="D125" s="189" t="s">
        <v>56</v>
      </c>
      <c r="E125" s="191">
        <v>269</v>
      </c>
      <c r="F125" s="191">
        <v>1</v>
      </c>
      <c r="G125" s="191">
        <v>1</v>
      </c>
      <c r="H125" s="191">
        <v>2</v>
      </c>
      <c r="I125" s="244">
        <v>2</v>
      </c>
      <c r="J125" s="6"/>
      <c r="K125" s="6"/>
      <c r="L125" s="6"/>
      <c r="M125" s="6"/>
      <c r="N125" s="6"/>
      <c r="O125" s="6"/>
      <c r="P125" s="6"/>
      <c r="Q125" s="190"/>
    </row>
    <row r="126" spans="2:17" x14ac:dyDescent="0.25">
      <c r="B126" s="380"/>
      <c r="C126" s="381"/>
      <c r="D126" s="189" t="s">
        <v>57</v>
      </c>
      <c r="E126" s="6"/>
      <c r="F126" s="6"/>
      <c r="G126" s="6"/>
      <c r="H126" s="6"/>
      <c r="I126" s="242"/>
      <c r="J126" s="6"/>
      <c r="K126" s="6"/>
      <c r="L126" s="6"/>
      <c r="M126" s="6"/>
      <c r="N126" s="6"/>
      <c r="O126" s="6"/>
      <c r="P126" s="6"/>
      <c r="Q126" s="190"/>
    </row>
    <row r="127" spans="2:17" x14ac:dyDescent="0.25">
      <c r="B127" s="380"/>
      <c r="C127" s="381"/>
      <c r="D127" s="189" t="s">
        <v>58</v>
      </c>
      <c r="E127" s="6"/>
      <c r="F127" s="6"/>
      <c r="G127" s="6"/>
      <c r="H127" s="6"/>
      <c r="I127" s="242"/>
      <c r="J127" s="191">
        <v>1</v>
      </c>
      <c r="K127" s="6"/>
      <c r="L127" s="6"/>
      <c r="M127" s="6"/>
      <c r="N127" s="6"/>
      <c r="O127" s="6"/>
      <c r="P127" s="6"/>
      <c r="Q127" s="190"/>
    </row>
    <row r="128" spans="2:17" x14ac:dyDescent="0.25">
      <c r="B128" s="380"/>
      <c r="C128" s="381"/>
      <c r="D128" s="189" t="s">
        <v>59</v>
      </c>
      <c r="E128" s="6"/>
      <c r="F128" s="6"/>
      <c r="G128" s="6"/>
      <c r="H128" s="6"/>
      <c r="I128" s="242"/>
      <c r="J128" s="6"/>
      <c r="K128" s="6"/>
      <c r="L128" s="6"/>
      <c r="M128" s="6"/>
      <c r="N128" s="6"/>
      <c r="O128" s="6"/>
      <c r="P128" s="6"/>
      <c r="Q128" s="190"/>
    </row>
    <row r="129" spans="2:17" x14ac:dyDescent="0.25">
      <c r="B129" s="380"/>
      <c r="C129" s="381"/>
      <c r="D129" s="189" t="s">
        <v>60</v>
      </c>
      <c r="E129" s="6"/>
      <c r="F129" s="6"/>
      <c r="G129" s="6"/>
      <c r="H129" s="6"/>
      <c r="I129" s="242"/>
      <c r="J129" s="6"/>
      <c r="K129" s="6"/>
      <c r="L129" s="6"/>
      <c r="M129" s="6"/>
      <c r="N129" s="6"/>
      <c r="O129" s="6"/>
      <c r="P129" s="6"/>
      <c r="Q129" s="190"/>
    </row>
    <row r="130" spans="2:17" x14ac:dyDescent="0.25">
      <c r="B130" s="380"/>
      <c r="C130" s="381"/>
      <c r="D130" s="189" t="s">
        <v>61</v>
      </c>
      <c r="E130" s="6"/>
      <c r="F130" s="6"/>
      <c r="G130" s="6"/>
      <c r="H130" s="6"/>
      <c r="I130" s="242"/>
      <c r="J130" s="6"/>
      <c r="K130" s="6"/>
      <c r="L130" s="6"/>
      <c r="M130" s="6"/>
      <c r="N130" s="6"/>
      <c r="O130" s="6"/>
      <c r="P130" s="6"/>
      <c r="Q130" s="190"/>
    </row>
    <row r="131" spans="2:17" x14ac:dyDescent="0.25">
      <c r="B131" s="380"/>
      <c r="C131" s="381"/>
      <c r="D131" s="189" t="s">
        <v>62</v>
      </c>
      <c r="E131" s="191">
        <f>2+5+2+2+5+6+1</f>
        <v>23</v>
      </c>
      <c r="F131" s="6"/>
      <c r="G131" s="6"/>
      <c r="H131" s="6"/>
      <c r="I131" s="242"/>
      <c r="J131" s="6"/>
      <c r="K131" s="6"/>
      <c r="L131" s="6"/>
      <c r="M131" s="6"/>
      <c r="N131" s="6"/>
      <c r="O131" s="6"/>
      <c r="P131" s="6"/>
      <c r="Q131" s="190"/>
    </row>
    <row r="132" spans="2:17" x14ac:dyDescent="0.25">
      <c r="B132" s="380"/>
      <c r="C132" s="381"/>
      <c r="D132" s="189" t="s">
        <v>63</v>
      </c>
      <c r="E132" s="191">
        <f>18+2+1+1+170+51</f>
        <v>243</v>
      </c>
      <c r="F132" s="191">
        <f>1+10</f>
        <v>11</v>
      </c>
      <c r="G132" s="191">
        <f>1+1</f>
        <v>2</v>
      </c>
      <c r="H132" s="191">
        <v>1</v>
      </c>
      <c r="I132" s="242"/>
      <c r="J132" s="6"/>
      <c r="K132" s="6"/>
      <c r="L132" s="6"/>
      <c r="M132" s="6"/>
      <c r="N132" s="191">
        <v>3</v>
      </c>
      <c r="O132" s="191">
        <f>1+5+5</f>
        <v>11</v>
      </c>
      <c r="P132" s="191">
        <v>1</v>
      </c>
      <c r="Q132" s="190"/>
    </row>
    <row r="133" spans="2:17" x14ac:dyDescent="0.25">
      <c r="B133" s="380"/>
      <c r="C133" s="381"/>
      <c r="D133" s="189" t="s">
        <v>64</v>
      </c>
      <c r="E133" s="6"/>
      <c r="F133" s="6"/>
      <c r="G133" s="6"/>
      <c r="H133" s="6"/>
      <c r="I133" s="242"/>
      <c r="J133" s="6"/>
      <c r="K133" s="6"/>
      <c r="L133" s="6"/>
      <c r="M133" s="6"/>
      <c r="N133" s="6"/>
      <c r="O133" s="6"/>
      <c r="P133" s="6"/>
      <c r="Q133" s="190"/>
    </row>
    <row r="134" spans="2:17" x14ac:dyDescent="0.25">
      <c r="B134" s="380"/>
      <c r="C134" s="381"/>
      <c r="D134" s="189" t="s">
        <v>65</v>
      </c>
      <c r="E134" s="6"/>
      <c r="F134" s="6"/>
      <c r="G134" s="6"/>
      <c r="H134" s="6"/>
      <c r="I134" s="242"/>
      <c r="J134" s="6"/>
      <c r="K134" s="6"/>
      <c r="L134" s="6"/>
      <c r="M134" s="6"/>
      <c r="N134" s="6"/>
      <c r="O134" s="6"/>
      <c r="P134" s="6"/>
      <c r="Q134" s="190"/>
    </row>
    <row r="135" spans="2:17" x14ac:dyDescent="0.25">
      <c r="B135" s="380"/>
      <c r="C135" s="381"/>
      <c r="D135" s="189" t="s">
        <v>66</v>
      </c>
      <c r="E135" s="6"/>
      <c r="F135" s="6"/>
      <c r="G135" s="6"/>
      <c r="H135" s="6"/>
      <c r="I135" s="242"/>
      <c r="J135" s="6"/>
      <c r="K135" s="6"/>
      <c r="L135" s="6"/>
      <c r="M135" s="6"/>
      <c r="N135" s="6"/>
      <c r="O135" s="6"/>
      <c r="P135" s="6"/>
      <c r="Q135" s="190"/>
    </row>
    <row r="136" spans="2:17" x14ac:dyDescent="0.25">
      <c r="B136" s="380"/>
      <c r="C136" s="381"/>
      <c r="D136" s="189" t="s">
        <v>67</v>
      </c>
      <c r="E136" s="6"/>
      <c r="F136" s="6"/>
      <c r="G136" s="6"/>
      <c r="H136" s="6"/>
      <c r="I136" s="242"/>
      <c r="J136" s="6"/>
      <c r="K136" s="6"/>
      <c r="L136" s="6"/>
      <c r="M136" s="6"/>
      <c r="N136" s="6"/>
      <c r="O136" s="6"/>
      <c r="P136" s="6"/>
      <c r="Q136" s="190"/>
    </row>
    <row r="137" spans="2:17" x14ac:dyDescent="0.25">
      <c r="B137" s="377" t="s">
        <v>15</v>
      </c>
      <c r="C137" s="378"/>
      <c r="D137" s="379"/>
      <c r="E137" s="193">
        <f>SUM(E125:E136)</f>
        <v>535</v>
      </c>
      <c r="F137" s="193">
        <f t="shared" ref="F137" si="103">SUM(F125:F136)</f>
        <v>12</v>
      </c>
      <c r="G137" s="193">
        <f t="shared" ref="G137" si="104">SUM(G125:G136)</f>
        <v>3</v>
      </c>
      <c r="H137" s="193">
        <f t="shared" ref="H137" si="105">SUM(H125:H136)</f>
        <v>3</v>
      </c>
      <c r="I137" s="243">
        <f t="shared" ref="I137" si="106">SUM(I125:I136)</f>
        <v>2</v>
      </c>
      <c r="J137" s="193">
        <f t="shared" ref="J137" si="107">SUM(J125:J136)</f>
        <v>1</v>
      </c>
      <c r="K137" s="193">
        <f t="shared" ref="K137" si="108">SUM(K125:K136)</f>
        <v>0</v>
      </c>
      <c r="L137" s="193">
        <f t="shared" ref="L137" si="109">SUM(L125:L136)</f>
        <v>0</v>
      </c>
      <c r="M137" s="193">
        <f t="shared" ref="M137" si="110">SUM(M125:M136)</f>
        <v>0</v>
      </c>
      <c r="N137" s="193">
        <f t="shared" ref="N137" si="111">SUM(N125:N136)</f>
        <v>3</v>
      </c>
      <c r="O137" s="193">
        <f t="shared" ref="O137" si="112">SUM(O125:O136)</f>
        <v>11</v>
      </c>
      <c r="P137" s="193">
        <f t="shared" ref="P137" si="113">SUM(P125:P136)</f>
        <v>1</v>
      </c>
      <c r="Q137" s="194">
        <f t="shared" ref="Q137" si="114">SUM(Q125:Q136)</f>
        <v>0</v>
      </c>
    </row>
    <row r="138" spans="2:17" x14ac:dyDescent="0.25">
      <c r="B138" s="380">
        <v>11</v>
      </c>
      <c r="C138" s="381" t="s">
        <v>32</v>
      </c>
      <c r="D138" s="189" t="s">
        <v>56</v>
      </c>
      <c r="E138" s="191">
        <v>8</v>
      </c>
      <c r="F138" s="6"/>
      <c r="G138" s="6"/>
      <c r="H138" s="6"/>
      <c r="I138" s="242"/>
      <c r="J138" s="6"/>
      <c r="K138" s="6"/>
      <c r="L138" s="6"/>
      <c r="M138" s="6"/>
      <c r="N138" s="6"/>
      <c r="O138" s="6"/>
      <c r="P138" s="6"/>
      <c r="Q138" s="190"/>
    </row>
    <row r="139" spans="2:17" x14ac:dyDescent="0.25">
      <c r="B139" s="380"/>
      <c r="C139" s="381"/>
      <c r="D139" s="189" t="s">
        <v>57</v>
      </c>
      <c r="E139" s="6"/>
      <c r="F139" s="6"/>
      <c r="G139" s="6"/>
      <c r="H139" s="6"/>
      <c r="I139" s="242"/>
      <c r="J139" s="6"/>
      <c r="K139" s="6"/>
      <c r="L139" s="6"/>
      <c r="M139" s="6"/>
      <c r="N139" s="6"/>
      <c r="O139" s="6"/>
      <c r="P139" s="6"/>
      <c r="Q139" s="190"/>
    </row>
    <row r="140" spans="2:17" x14ac:dyDescent="0.25">
      <c r="B140" s="380"/>
      <c r="C140" s="381"/>
      <c r="D140" s="189" t="s">
        <v>58</v>
      </c>
      <c r="E140" s="191">
        <v>1</v>
      </c>
      <c r="F140" s="6"/>
      <c r="G140" s="6"/>
      <c r="H140" s="6"/>
      <c r="I140" s="242"/>
      <c r="J140" s="191">
        <f>3+51+52</f>
        <v>106</v>
      </c>
      <c r="K140" s="6"/>
      <c r="L140" s="6"/>
      <c r="M140" s="6"/>
      <c r="N140" s="6"/>
      <c r="O140" s="6"/>
      <c r="P140" s="6"/>
      <c r="Q140" s="190"/>
    </row>
    <row r="141" spans="2:17" x14ac:dyDescent="0.25">
      <c r="B141" s="380"/>
      <c r="C141" s="381"/>
      <c r="D141" s="189" t="s">
        <v>59</v>
      </c>
      <c r="E141" s="6"/>
      <c r="F141" s="6"/>
      <c r="G141" s="6"/>
      <c r="H141" s="6"/>
      <c r="I141" s="242"/>
      <c r="J141" s="6"/>
      <c r="K141" s="6"/>
      <c r="L141" s="6"/>
      <c r="M141" s="6"/>
      <c r="N141" s="6"/>
      <c r="O141" s="6"/>
      <c r="P141" s="6"/>
      <c r="Q141" s="190"/>
    </row>
    <row r="142" spans="2:17" x14ac:dyDescent="0.25">
      <c r="B142" s="380"/>
      <c r="C142" s="381"/>
      <c r="D142" s="189" t="s">
        <v>60</v>
      </c>
      <c r="E142" s="6"/>
      <c r="F142" s="6"/>
      <c r="G142" s="6"/>
      <c r="H142" s="6"/>
      <c r="I142" s="242"/>
      <c r="J142" s="6"/>
      <c r="K142" s="6"/>
      <c r="L142" s="6"/>
      <c r="M142" s="6"/>
      <c r="N142" s="6"/>
      <c r="O142" s="6"/>
      <c r="P142" s="6"/>
      <c r="Q142" s="190"/>
    </row>
    <row r="143" spans="2:17" x14ac:dyDescent="0.25">
      <c r="B143" s="380"/>
      <c r="C143" s="381"/>
      <c r="D143" s="189" t="s">
        <v>61</v>
      </c>
      <c r="E143" s="6"/>
      <c r="F143" s="6"/>
      <c r="G143" s="6"/>
      <c r="H143" s="6"/>
      <c r="I143" s="242"/>
      <c r="J143" s="6"/>
      <c r="K143" s="6"/>
      <c r="L143" s="6"/>
      <c r="M143" s="6"/>
      <c r="N143" s="6"/>
      <c r="O143" s="6"/>
      <c r="P143" s="6"/>
      <c r="Q143" s="190"/>
    </row>
    <row r="144" spans="2:17" x14ac:dyDescent="0.25">
      <c r="B144" s="380"/>
      <c r="C144" s="381"/>
      <c r="D144" s="189" t="s">
        <v>62</v>
      </c>
      <c r="E144" s="191">
        <f>8+4+6+5+11+5+6+15+22+6+8</f>
        <v>96</v>
      </c>
      <c r="F144" s="6"/>
      <c r="G144" s="6"/>
      <c r="H144" s="6"/>
      <c r="I144" s="242"/>
      <c r="J144" s="6"/>
      <c r="K144" s="6"/>
      <c r="L144" s="6"/>
      <c r="M144" s="6"/>
      <c r="N144" s="191">
        <v>1</v>
      </c>
      <c r="O144" s="191">
        <f>1+5</f>
        <v>6</v>
      </c>
      <c r="P144" s="6"/>
      <c r="Q144" s="190"/>
    </row>
    <row r="145" spans="2:17" x14ac:dyDescent="0.25">
      <c r="B145" s="380"/>
      <c r="C145" s="381"/>
      <c r="D145" s="189" t="s">
        <v>63</v>
      </c>
      <c r="E145" s="191">
        <f>38+24+1+11+1+1+2+8+13</f>
        <v>99</v>
      </c>
      <c r="F145" s="6"/>
      <c r="G145" s="191">
        <v>1</v>
      </c>
      <c r="H145" s="6"/>
      <c r="I145" s="242"/>
      <c r="J145" s="191">
        <v>1</v>
      </c>
      <c r="K145" s="6"/>
      <c r="L145" s="6"/>
      <c r="M145" s="6"/>
      <c r="N145" s="6"/>
      <c r="O145" s="6"/>
      <c r="P145" s="6"/>
      <c r="Q145" s="190"/>
    </row>
    <row r="146" spans="2:17" x14ac:dyDescent="0.25">
      <c r="B146" s="380"/>
      <c r="C146" s="381"/>
      <c r="D146" s="189" t="s">
        <v>64</v>
      </c>
      <c r="E146" s="191">
        <v>6</v>
      </c>
      <c r="F146" s="6"/>
      <c r="G146" s="6"/>
      <c r="H146" s="6"/>
      <c r="I146" s="242"/>
      <c r="J146" s="6"/>
      <c r="K146" s="6"/>
      <c r="L146" s="6"/>
      <c r="M146" s="6"/>
      <c r="N146" s="6"/>
      <c r="O146" s="6"/>
      <c r="P146" s="6"/>
      <c r="Q146" s="190"/>
    </row>
    <row r="147" spans="2:17" x14ac:dyDescent="0.25">
      <c r="B147" s="380"/>
      <c r="C147" s="381"/>
      <c r="D147" s="189" t="s">
        <v>65</v>
      </c>
      <c r="E147" s="6"/>
      <c r="F147" s="6"/>
      <c r="G147" s="6"/>
      <c r="H147" s="6"/>
      <c r="I147" s="242"/>
      <c r="J147" s="6"/>
      <c r="K147" s="6"/>
      <c r="L147" s="6"/>
      <c r="M147" s="6"/>
      <c r="N147" s="6"/>
      <c r="O147" s="6"/>
      <c r="P147" s="6"/>
      <c r="Q147" s="190"/>
    </row>
    <row r="148" spans="2:17" x14ac:dyDescent="0.25">
      <c r="B148" s="380"/>
      <c r="C148" s="381"/>
      <c r="D148" s="189" t="s">
        <v>66</v>
      </c>
      <c r="E148" s="6"/>
      <c r="F148" s="6"/>
      <c r="G148" s="6"/>
      <c r="H148" s="6"/>
      <c r="I148" s="242"/>
      <c r="J148" s="6"/>
      <c r="K148" s="191">
        <v>1</v>
      </c>
      <c r="L148" s="6"/>
      <c r="M148" s="191">
        <v>1</v>
      </c>
      <c r="N148" s="6"/>
      <c r="O148" s="6"/>
      <c r="P148" s="6"/>
      <c r="Q148" s="190"/>
    </row>
    <row r="149" spans="2:17" x14ac:dyDescent="0.25">
      <c r="B149" s="380"/>
      <c r="C149" s="381"/>
      <c r="D149" s="189" t="s">
        <v>67</v>
      </c>
      <c r="E149" s="6"/>
      <c r="F149" s="6"/>
      <c r="G149" s="6"/>
      <c r="H149" s="6"/>
      <c r="I149" s="242"/>
      <c r="J149" s="6"/>
      <c r="K149" s="6"/>
      <c r="L149" s="6"/>
      <c r="M149" s="6"/>
      <c r="N149" s="6"/>
      <c r="O149" s="6"/>
      <c r="P149" s="6"/>
      <c r="Q149" s="190"/>
    </row>
    <row r="150" spans="2:17" x14ac:dyDescent="0.25">
      <c r="B150" s="377" t="s">
        <v>15</v>
      </c>
      <c r="C150" s="378"/>
      <c r="D150" s="379"/>
      <c r="E150" s="193">
        <f>SUM(E138:E149)</f>
        <v>210</v>
      </c>
      <c r="F150" s="193">
        <f t="shared" ref="F150" si="115">SUM(F138:F149)</f>
        <v>0</v>
      </c>
      <c r="G150" s="193">
        <f>SUM(G138:G149)</f>
        <v>1</v>
      </c>
      <c r="H150" s="193">
        <f t="shared" ref="H150" si="116">SUM(H138:H149)</f>
        <v>0</v>
      </c>
      <c r="I150" s="243">
        <f t="shared" ref="I150" si="117">SUM(I138:I149)</f>
        <v>0</v>
      </c>
      <c r="J150" s="193">
        <f t="shared" ref="J150" si="118">SUM(J138:J149)</f>
        <v>107</v>
      </c>
      <c r="K150" s="193">
        <f t="shared" ref="K150" si="119">SUM(K138:K149)</f>
        <v>1</v>
      </c>
      <c r="L150" s="193">
        <f t="shared" ref="L150" si="120">SUM(L138:L149)</f>
        <v>0</v>
      </c>
      <c r="M150" s="193">
        <f t="shared" ref="M150" si="121">SUM(M138:M149)</f>
        <v>1</v>
      </c>
      <c r="N150" s="193">
        <f t="shared" ref="N150" si="122">SUM(N138:N149)</f>
        <v>1</v>
      </c>
      <c r="O150" s="193">
        <f t="shared" ref="O150" si="123">SUM(O138:O149)</f>
        <v>6</v>
      </c>
      <c r="P150" s="193">
        <f t="shared" ref="P150" si="124">SUM(P138:P149)</f>
        <v>0</v>
      </c>
      <c r="Q150" s="194">
        <f t="shared" ref="Q150" si="125">SUM(Q138:Q149)</f>
        <v>0</v>
      </c>
    </row>
    <row r="151" spans="2:17" x14ac:dyDescent="0.25">
      <c r="B151" s="380">
        <v>12</v>
      </c>
      <c r="C151" s="381" t="s">
        <v>31</v>
      </c>
      <c r="D151" s="195" t="s">
        <v>56</v>
      </c>
      <c r="E151" s="196"/>
      <c r="F151" s="196"/>
      <c r="G151" s="196"/>
      <c r="H151" s="196"/>
      <c r="I151" s="245"/>
      <c r="J151" s="196"/>
      <c r="K151" s="200">
        <v>3723.15</v>
      </c>
      <c r="L151" s="196"/>
      <c r="M151" s="196"/>
      <c r="N151" s="196"/>
      <c r="O151" s="196"/>
      <c r="P151" s="196"/>
      <c r="Q151" s="197"/>
    </row>
    <row r="152" spans="2:17" x14ac:dyDescent="0.25">
      <c r="B152" s="380"/>
      <c r="C152" s="381"/>
      <c r="D152" s="189" t="s">
        <v>57</v>
      </c>
      <c r="E152" s="6"/>
      <c r="F152" s="6"/>
      <c r="G152" s="6"/>
      <c r="H152" s="6"/>
      <c r="I152" s="242"/>
      <c r="J152" s="6"/>
      <c r="K152" s="6"/>
      <c r="L152" s="6"/>
      <c r="M152" s="6"/>
      <c r="N152" s="6"/>
      <c r="O152" s="6"/>
      <c r="P152" s="6"/>
      <c r="Q152" s="190"/>
    </row>
    <row r="153" spans="2:17" x14ac:dyDescent="0.25">
      <c r="B153" s="380"/>
      <c r="C153" s="381"/>
      <c r="D153" s="189" t="s">
        <v>58</v>
      </c>
      <c r="E153" s="198"/>
      <c r="F153" s="198"/>
      <c r="G153" s="198"/>
      <c r="H153" s="198"/>
      <c r="I153" s="246"/>
      <c r="J153" s="198"/>
      <c r="K153" s="198"/>
      <c r="L153" s="198"/>
      <c r="M153" s="198"/>
      <c r="N153" s="198"/>
      <c r="O153" s="198"/>
      <c r="P153" s="198"/>
      <c r="Q153" s="199"/>
    </row>
    <row r="154" spans="2:17" x14ac:dyDescent="0.25">
      <c r="B154" s="380"/>
      <c r="C154" s="381"/>
      <c r="D154" s="189" t="s">
        <v>59</v>
      </c>
      <c r="E154" s="6"/>
      <c r="F154" s="6"/>
      <c r="G154" s="6"/>
      <c r="H154" s="6"/>
      <c r="I154" s="242"/>
      <c r="J154" s="6"/>
      <c r="K154" s="6"/>
      <c r="L154" s="6"/>
      <c r="M154" s="6"/>
      <c r="N154" s="6"/>
      <c r="O154" s="6"/>
      <c r="P154" s="6"/>
      <c r="Q154" s="190"/>
    </row>
    <row r="155" spans="2:17" x14ac:dyDescent="0.25">
      <c r="B155" s="380"/>
      <c r="C155" s="381"/>
      <c r="D155" s="189" t="s">
        <v>60</v>
      </c>
      <c r="E155" s="6"/>
      <c r="F155" s="6"/>
      <c r="G155" s="6"/>
      <c r="H155" s="6"/>
      <c r="I155" s="242"/>
      <c r="J155" s="6"/>
      <c r="K155" s="6"/>
      <c r="L155" s="6"/>
      <c r="M155" s="6"/>
      <c r="N155" s="6"/>
      <c r="O155" s="6"/>
      <c r="P155" s="6"/>
      <c r="Q155" s="190"/>
    </row>
    <row r="156" spans="2:17" x14ac:dyDescent="0.25">
      <c r="B156" s="380"/>
      <c r="C156" s="381"/>
      <c r="D156" s="189" t="s">
        <v>61</v>
      </c>
      <c r="E156" s="6"/>
      <c r="F156" s="6"/>
      <c r="G156" s="6"/>
      <c r="H156" s="6"/>
      <c r="I156" s="242"/>
      <c r="J156" s="6"/>
      <c r="K156" s="6"/>
      <c r="L156" s="6"/>
      <c r="M156" s="6"/>
      <c r="N156" s="6"/>
      <c r="O156" s="6"/>
      <c r="P156" s="6"/>
      <c r="Q156" s="190"/>
    </row>
    <row r="157" spans="2:17" x14ac:dyDescent="0.25">
      <c r="B157" s="380"/>
      <c r="C157" s="381"/>
      <c r="D157" s="189" t="s">
        <v>62</v>
      </c>
      <c r="E157" s="191">
        <f>1+9+11+6</f>
        <v>27</v>
      </c>
      <c r="F157" s="6"/>
      <c r="G157" s="6"/>
      <c r="H157" s="6"/>
      <c r="I157" s="242"/>
      <c r="J157" s="6"/>
      <c r="K157" s="6"/>
      <c r="L157" s="6"/>
      <c r="M157" s="6"/>
      <c r="N157" s="6"/>
      <c r="O157" s="6"/>
      <c r="P157" s="6"/>
      <c r="Q157" s="190"/>
    </row>
    <row r="158" spans="2:17" x14ac:dyDescent="0.25">
      <c r="B158" s="380"/>
      <c r="C158" s="381"/>
      <c r="D158" s="189" t="s">
        <v>63</v>
      </c>
      <c r="E158" s="191">
        <f>1+17+15</f>
        <v>33</v>
      </c>
      <c r="F158" s="6"/>
      <c r="G158" s="6"/>
      <c r="H158" s="6"/>
      <c r="I158" s="242"/>
      <c r="J158" s="6"/>
      <c r="K158" s="6"/>
      <c r="L158" s="6"/>
      <c r="M158" s="6"/>
      <c r="N158" s="6"/>
      <c r="O158" s="6"/>
      <c r="P158" s="6"/>
      <c r="Q158" s="190"/>
    </row>
    <row r="159" spans="2:17" x14ac:dyDescent="0.25">
      <c r="B159" s="380"/>
      <c r="C159" s="381"/>
      <c r="D159" s="189" t="s">
        <v>64</v>
      </c>
      <c r="E159" s="6"/>
      <c r="F159" s="6"/>
      <c r="G159" s="6"/>
      <c r="H159" s="6"/>
      <c r="I159" s="242"/>
      <c r="J159" s="6"/>
      <c r="K159" s="6"/>
      <c r="L159" s="6"/>
      <c r="M159" s="6"/>
      <c r="N159" s="6"/>
      <c r="O159" s="6"/>
      <c r="P159" s="6"/>
      <c r="Q159" s="190"/>
    </row>
    <row r="160" spans="2:17" x14ac:dyDescent="0.25">
      <c r="B160" s="380"/>
      <c r="C160" s="381"/>
      <c r="D160" s="189" t="s">
        <v>65</v>
      </c>
      <c r="E160" s="6"/>
      <c r="F160" s="6"/>
      <c r="G160" s="6"/>
      <c r="H160" s="6"/>
      <c r="I160" s="242"/>
      <c r="J160" s="6"/>
      <c r="K160" s="6"/>
      <c r="L160" s="6"/>
      <c r="M160" s="6"/>
      <c r="N160" s="6"/>
      <c r="O160" s="6"/>
      <c r="P160" s="6"/>
      <c r="Q160" s="190"/>
    </row>
    <row r="161" spans="2:17" x14ac:dyDescent="0.25">
      <c r="B161" s="380"/>
      <c r="C161" s="381"/>
      <c r="D161" s="189" t="s">
        <v>66</v>
      </c>
      <c r="E161" s="6"/>
      <c r="F161" s="6"/>
      <c r="G161" s="6"/>
      <c r="H161" s="6"/>
      <c r="I161" s="242"/>
      <c r="J161" s="6"/>
      <c r="K161" s="6"/>
      <c r="L161" s="6"/>
      <c r="M161" s="6"/>
      <c r="N161" s="6"/>
      <c r="O161" s="6"/>
      <c r="P161" s="6"/>
      <c r="Q161" s="190"/>
    </row>
    <row r="162" spans="2:17" x14ac:dyDescent="0.25">
      <c r="B162" s="380"/>
      <c r="C162" s="381"/>
      <c r="D162" s="189" t="s">
        <v>67</v>
      </c>
      <c r="E162" s="6"/>
      <c r="F162" s="6"/>
      <c r="G162" s="6"/>
      <c r="H162" s="6"/>
      <c r="I162" s="242"/>
      <c r="J162" s="6"/>
      <c r="K162" s="6"/>
      <c r="L162" s="6"/>
      <c r="M162" s="6"/>
      <c r="N162" s="6"/>
      <c r="O162" s="6"/>
      <c r="P162" s="6"/>
      <c r="Q162" s="190"/>
    </row>
    <row r="163" spans="2:17" x14ac:dyDescent="0.25">
      <c r="B163" s="377" t="s">
        <v>15</v>
      </c>
      <c r="C163" s="378"/>
      <c r="D163" s="379"/>
      <c r="E163" s="193">
        <f>SUM(E151:E162)</f>
        <v>60</v>
      </c>
      <c r="F163" s="193">
        <f t="shared" ref="F163" si="126">SUM(F151:F162)</f>
        <v>0</v>
      </c>
      <c r="G163" s="193">
        <f t="shared" ref="G163" si="127">SUM(G151:G162)</f>
        <v>0</v>
      </c>
      <c r="H163" s="193">
        <f t="shared" ref="H163" si="128">SUM(H151:H162)</f>
        <v>0</v>
      </c>
      <c r="I163" s="243">
        <f t="shared" ref="I163" si="129">SUM(I151:I162)</f>
        <v>0</v>
      </c>
      <c r="J163" s="193">
        <f t="shared" ref="J163" si="130">SUM(J151:J162)</f>
        <v>0</v>
      </c>
      <c r="K163" s="193">
        <f t="shared" ref="K163" si="131">SUM(K151:K162)</f>
        <v>3723.15</v>
      </c>
      <c r="L163" s="193">
        <f t="shared" ref="L163" si="132">SUM(L151:L162)</f>
        <v>0</v>
      </c>
      <c r="M163" s="193">
        <f t="shared" ref="M163" si="133">SUM(M151:M162)</f>
        <v>0</v>
      </c>
      <c r="N163" s="193">
        <f t="shared" ref="N163" si="134">SUM(N151:N162)</f>
        <v>0</v>
      </c>
      <c r="O163" s="193">
        <f t="shared" ref="O163" si="135">SUM(O151:O162)</f>
        <v>0</v>
      </c>
      <c r="P163" s="193">
        <f t="shared" ref="P163" si="136">SUM(P151:P162)</f>
        <v>0</v>
      </c>
      <c r="Q163" s="194">
        <f t="shared" ref="Q163" si="137">SUM(Q151:Q162)</f>
        <v>0</v>
      </c>
    </row>
    <row r="164" spans="2:17" x14ac:dyDescent="0.25">
      <c r="B164" s="380">
        <v>13</v>
      </c>
      <c r="C164" s="381" t="s">
        <v>29</v>
      </c>
      <c r="D164" s="189" t="s">
        <v>56</v>
      </c>
      <c r="E164" s="191">
        <f>6336+48</f>
        <v>6384</v>
      </c>
      <c r="F164" s="191">
        <f>45+1</f>
        <v>46</v>
      </c>
      <c r="G164" s="191">
        <v>27</v>
      </c>
      <c r="H164" s="191">
        <v>11</v>
      </c>
      <c r="I164" s="244">
        <v>5</v>
      </c>
      <c r="J164" s="191">
        <f>5479+100</f>
        <v>5579</v>
      </c>
      <c r="K164" s="191">
        <v>3930</v>
      </c>
      <c r="L164" s="6"/>
      <c r="M164" s="191">
        <v>2420</v>
      </c>
      <c r="N164" s="6"/>
      <c r="O164" s="6"/>
      <c r="P164" s="6"/>
      <c r="Q164" s="190"/>
    </row>
    <row r="165" spans="2:17" x14ac:dyDescent="0.25">
      <c r="B165" s="380"/>
      <c r="C165" s="381"/>
      <c r="D165" s="189" t="s">
        <v>57</v>
      </c>
      <c r="E165" s="6"/>
      <c r="F165" s="6"/>
      <c r="G165" s="6"/>
      <c r="H165" s="6"/>
      <c r="I165" s="242"/>
      <c r="J165" s="6"/>
      <c r="K165" s="6">
        <v>0</v>
      </c>
      <c r="L165" s="6"/>
      <c r="M165" s="6"/>
      <c r="N165" s="6"/>
      <c r="O165" s="6"/>
      <c r="P165" s="6"/>
      <c r="Q165" s="190"/>
    </row>
    <row r="166" spans="2:17" x14ac:dyDescent="0.25">
      <c r="B166" s="380"/>
      <c r="C166" s="381"/>
      <c r="D166" s="189" t="s">
        <v>58</v>
      </c>
      <c r="E166" s="191">
        <v>1</v>
      </c>
      <c r="F166" s="191">
        <v>1</v>
      </c>
      <c r="G166" s="6"/>
      <c r="H166" s="6"/>
      <c r="I166" s="242"/>
      <c r="J166" s="6"/>
      <c r="K166" s="6"/>
      <c r="L166" s="6"/>
      <c r="M166" s="6"/>
      <c r="N166" s="6"/>
      <c r="O166" s="6"/>
      <c r="P166" s="6"/>
      <c r="Q166" s="190"/>
    </row>
    <row r="167" spans="2:17" x14ac:dyDescent="0.25">
      <c r="B167" s="380"/>
      <c r="C167" s="381"/>
      <c r="D167" s="189" t="s">
        <v>59</v>
      </c>
      <c r="E167" s="6"/>
      <c r="F167" s="6"/>
      <c r="G167" s="6"/>
      <c r="H167" s="6"/>
      <c r="I167" s="242"/>
      <c r="J167" s="6"/>
      <c r="K167" s="6"/>
      <c r="L167" s="6"/>
      <c r="M167" s="6"/>
      <c r="N167" s="6"/>
      <c r="O167" s="6"/>
      <c r="P167" s="6"/>
      <c r="Q167" s="190"/>
    </row>
    <row r="168" spans="2:17" x14ac:dyDescent="0.25">
      <c r="B168" s="380"/>
      <c r="C168" s="381"/>
      <c r="D168" s="189" t="s">
        <v>60</v>
      </c>
      <c r="E168" s="6"/>
      <c r="F168" s="6"/>
      <c r="G168" s="6"/>
      <c r="H168" s="6"/>
      <c r="I168" s="242"/>
      <c r="J168" s="6"/>
      <c r="K168" s="6"/>
      <c r="L168" s="6"/>
      <c r="M168" s="6"/>
      <c r="N168" s="6"/>
      <c r="O168" s="6"/>
      <c r="P168" s="6"/>
      <c r="Q168" s="190"/>
    </row>
    <row r="169" spans="2:17" x14ac:dyDescent="0.25">
      <c r="B169" s="380"/>
      <c r="C169" s="381"/>
      <c r="D169" s="189" t="s">
        <v>61</v>
      </c>
      <c r="E169" s="6"/>
      <c r="F169" s="6"/>
      <c r="G169" s="6"/>
      <c r="H169" s="6"/>
      <c r="I169" s="242"/>
      <c r="J169" s="6"/>
      <c r="K169" s="6"/>
      <c r="L169" s="6"/>
      <c r="M169" s="6"/>
      <c r="N169" s="6"/>
      <c r="O169" s="6"/>
      <c r="P169" s="6"/>
      <c r="Q169" s="190"/>
    </row>
    <row r="170" spans="2:17" x14ac:dyDescent="0.25">
      <c r="B170" s="380"/>
      <c r="C170" s="381"/>
      <c r="D170" s="189" t="s">
        <v>62</v>
      </c>
      <c r="E170" s="191">
        <f>7+5+6+6+9+11+14+7+2+6</f>
        <v>73</v>
      </c>
      <c r="F170" s="6"/>
      <c r="G170" s="6"/>
      <c r="H170" s="6"/>
      <c r="I170" s="242"/>
      <c r="J170" s="6"/>
      <c r="K170" s="6"/>
      <c r="L170" s="6"/>
      <c r="M170" s="6"/>
      <c r="N170" s="6"/>
      <c r="O170" s="6"/>
      <c r="P170" s="6"/>
      <c r="Q170" s="190"/>
    </row>
    <row r="171" spans="2:17" x14ac:dyDescent="0.25">
      <c r="B171" s="380"/>
      <c r="C171" s="381"/>
      <c r="D171" s="189" t="s">
        <v>63</v>
      </c>
      <c r="E171" s="191">
        <f>2+1+2+3+2+1</f>
        <v>11</v>
      </c>
      <c r="F171" s="6"/>
      <c r="G171" s="6"/>
      <c r="H171" s="6"/>
      <c r="I171" s="242"/>
      <c r="J171" s="6"/>
      <c r="K171" s="6"/>
      <c r="L171" s="6"/>
      <c r="M171" s="6"/>
      <c r="N171" s="6"/>
      <c r="O171" s="6"/>
      <c r="P171" s="6"/>
      <c r="Q171" s="190"/>
    </row>
    <row r="172" spans="2:17" x14ac:dyDescent="0.25">
      <c r="B172" s="380"/>
      <c r="C172" s="381"/>
      <c r="D172" s="189" t="s">
        <v>64</v>
      </c>
      <c r="E172" s="6"/>
      <c r="F172" s="6"/>
      <c r="G172" s="6"/>
      <c r="H172" s="6"/>
      <c r="I172" s="242"/>
      <c r="J172" s="6"/>
      <c r="K172" s="6"/>
      <c r="L172" s="6"/>
      <c r="M172" s="6"/>
      <c r="N172" s="6"/>
      <c r="O172" s="6"/>
      <c r="P172" s="6"/>
      <c r="Q172" s="190"/>
    </row>
    <row r="173" spans="2:17" x14ac:dyDescent="0.25">
      <c r="B173" s="380"/>
      <c r="C173" s="381"/>
      <c r="D173" s="189" t="s">
        <v>65</v>
      </c>
      <c r="E173" s="6"/>
      <c r="F173" s="6"/>
      <c r="G173" s="6"/>
      <c r="H173" s="6"/>
      <c r="I173" s="242"/>
      <c r="J173" s="6"/>
      <c r="K173" s="6"/>
      <c r="L173" s="6"/>
      <c r="M173" s="6"/>
      <c r="N173" s="6"/>
      <c r="O173" s="6"/>
      <c r="P173" s="6"/>
      <c r="Q173" s="190"/>
    </row>
    <row r="174" spans="2:17" x14ac:dyDescent="0.25">
      <c r="B174" s="380"/>
      <c r="C174" s="381"/>
      <c r="D174" s="189" t="s">
        <v>66</v>
      </c>
      <c r="E174" s="6"/>
      <c r="F174" s="6"/>
      <c r="G174" s="6"/>
      <c r="H174" s="6"/>
      <c r="I174" s="242"/>
      <c r="J174" s="6"/>
      <c r="K174" s="6"/>
      <c r="L174" s="6"/>
      <c r="M174" s="6"/>
      <c r="N174" s="6"/>
      <c r="O174" s="6"/>
      <c r="P174" s="6"/>
      <c r="Q174" s="190"/>
    </row>
    <row r="175" spans="2:17" x14ac:dyDescent="0.25">
      <c r="B175" s="380"/>
      <c r="C175" s="381"/>
      <c r="D175" s="189" t="s">
        <v>67</v>
      </c>
      <c r="E175" s="6"/>
      <c r="F175" s="6"/>
      <c r="G175" s="6"/>
      <c r="H175" s="6"/>
      <c r="I175" s="242"/>
      <c r="J175" s="6"/>
      <c r="K175" s="191">
        <v>7937.83</v>
      </c>
      <c r="L175" s="6"/>
      <c r="M175" s="6"/>
      <c r="N175" s="6"/>
      <c r="O175" s="6"/>
      <c r="P175" s="6"/>
      <c r="Q175" s="190"/>
    </row>
    <row r="176" spans="2:17" x14ac:dyDescent="0.25">
      <c r="B176" s="377" t="s">
        <v>15</v>
      </c>
      <c r="C176" s="378"/>
      <c r="D176" s="379"/>
      <c r="E176" s="193">
        <f>SUM(E164:E175)</f>
        <v>6469</v>
      </c>
      <c r="F176" s="193">
        <f t="shared" ref="F176" si="138">SUM(F164:F175)</f>
        <v>47</v>
      </c>
      <c r="G176" s="193">
        <f t="shared" ref="G176" si="139">SUM(G164:G175)</f>
        <v>27</v>
      </c>
      <c r="H176" s="193">
        <f t="shared" ref="H176" si="140">SUM(H164:H175)</f>
        <v>11</v>
      </c>
      <c r="I176" s="243">
        <f t="shared" ref="I176" si="141">SUM(I164:I175)</f>
        <v>5</v>
      </c>
      <c r="J176" s="193">
        <f t="shared" ref="J176" si="142">SUM(J164:J175)</f>
        <v>5579</v>
      </c>
      <c r="K176" s="193">
        <f t="shared" ref="K176" si="143">SUM(K164:K175)</f>
        <v>11867.83</v>
      </c>
      <c r="L176" s="193">
        <f t="shared" ref="L176" si="144">SUM(L164:L175)</f>
        <v>0</v>
      </c>
      <c r="M176" s="193">
        <f t="shared" ref="M176" si="145">SUM(M164:M175)</f>
        <v>2420</v>
      </c>
      <c r="N176" s="193">
        <f t="shared" ref="N176" si="146">SUM(N164:N175)</f>
        <v>0</v>
      </c>
      <c r="O176" s="193">
        <f t="shared" ref="O176" si="147">SUM(O164:O175)</f>
        <v>0</v>
      </c>
      <c r="P176" s="193">
        <f t="shared" ref="P176" si="148">SUM(P164:P175)</f>
        <v>0</v>
      </c>
      <c r="Q176" s="194">
        <f t="shared" ref="Q176" si="149">SUM(Q164:Q175)</f>
        <v>0</v>
      </c>
    </row>
    <row r="177" spans="2:17" x14ac:dyDescent="0.25">
      <c r="B177" s="380">
        <v>14</v>
      </c>
      <c r="C177" s="381" t="s">
        <v>28</v>
      </c>
      <c r="D177" s="189" t="s">
        <v>56</v>
      </c>
      <c r="E177" s="191">
        <f>280+22</f>
        <v>302</v>
      </c>
      <c r="F177" s="191">
        <v>1</v>
      </c>
      <c r="G177" s="6"/>
      <c r="H177" s="6"/>
      <c r="I177" s="242"/>
      <c r="J177" s="191">
        <v>3</v>
      </c>
      <c r="K177" s="191">
        <f>2223+799</f>
        <v>3022</v>
      </c>
      <c r="L177" s="6"/>
      <c r="M177" s="6"/>
      <c r="N177" s="6"/>
      <c r="O177" s="6"/>
      <c r="P177" s="6"/>
      <c r="Q177" s="190"/>
    </row>
    <row r="178" spans="2:17" x14ac:dyDescent="0.25">
      <c r="B178" s="380"/>
      <c r="C178" s="381"/>
      <c r="D178" s="189" t="s">
        <v>57</v>
      </c>
      <c r="E178" s="6"/>
      <c r="F178" s="6"/>
      <c r="G178" s="6"/>
      <c r="H178" s="6"/>
      <c r="I178" s="242"/>
      <c r="J178" s="6"/>
      <c r="K178" s="6">
        <v>0</v>
      </c>
      <c r="L178" s="6"/>
      <c r="M178" s="6"/>
      <c r="N178" s="6"/>
      <c r="O178" s="6"/>
      <c r="P178" s="6"/>
      <c r="Q178" s="190"/>
    </row>
    <row r="179" spans="2:17" x14ac:dyDescent="0.25">
      <c r="B179" s="380"/>
      <c r="C179" s="381"/>
      <c r="D179" s="189" t="s">
        <v>58</v>
      </c>
      <c r="E179" s="6"/>
      <c r="F179" s="6"/>
      <c r="G179" s="6"/>
      <c r="H179" s="6"/>
      <c r="I179" s="242"/>
      <c r="J179" s="191">
        <v>25</v>
      </c>
      <c r="K179" s="6"/>
      <c r="L179" s="6"/>
      <c r="M179" s="6"/>
      <c r="N179" s="6"/>
      <c r="O179" s="6"/>
      <c r="P179" s="6"/>
      <c r="Q179" s="190"/>
    </row>
    <row r="180" spans="2:17" x14ac:dyDescent="0.25">
      <c r="B180" s="380"/>
      <c r="C180" s="381"/>
      <c r="D180" s="189" t="s">
        <v>59</v>
      </c>
      <c r="E180" s="6"/>
      <c r="F180" s="6"/>
      <c r="G180" s="6"/>
      <c r="H180" s="6"/>
      <c r="I180" s="242"/>
      <c r="J180" s="6"/>
      <c r="K180" s="6"/>
      <c r="L180" s="6"/>
      <c r="M180" s="6"/>
      <c r="N180" s="6"/>
      <c r="O180" s="6"/>
      <c r="P180" s="6"/>
      <c r="Q180" s="190"/>
    </row>
    <row r="181" spans="2:17" x14ac:dyDescent="0.25">
      <c r="B181" s="380"/>
      <c r="C181" s="381"/>
      <c r="D181" s="189" t="s">
        <v>60</v>
      </c>
      <c r="E181" s="6"/>
      <c r="F181" s="6"/>
      <c r="G181" s="6"/>
      <c r="H181" s="6"/>
      <c r="I181" s="242"/>
      <c r="J181" s="6"/>
      <c r="K181" s="6"/>
      <c r="L181" s="6"/>
      <c r="M181" s="6"/>
      <c r="N181" s="6"/>
      <c r="O181" s="6"/>
      <c r="P181" s="6"/>
      <c r="Q181" s="190"/>
    </row>
    <row r="182" spans="2:17" x14ac:dyDescent="0.25">
      <c r="B182" s="380"/>
      <c r="C182" s="381"/>
      <c r="D182" s="189" t="s">
        <v>61</v>
      </c>
      <c r="E182" s="6"/>
      <c r="F182" s="6"/>
      <c r="G182" s="6"/>
      <c r="H182" s="6"/>
      <c r="I182" s="242"/>
      <c r="J182" s="6"/>
      <c r="K182" s="6"/>
      <c r="L182" s="6"/>
      <c r="M182" s="6"/>
      <c r="N182" s="6"/>
      <c r="O182" s="6"/>
      <c r="P182" s="6"/>
      <c r="Q182" s="190"/>
    </row>
    <row r="183" spans="2:17" x14ac:dyDescent="0.25">
      <c r="B183" s="380"/>
      <c r="C183" s="381"/>
      <c r="D183" s="189" t="s">
        <v>62</v>
      </c>
      <c r="E183" s="191">
        <f>5+3+1+5+1+2+3+3+3</f>
        <v>26</v>
      </c>
      <c r="F183" s="191">
        <v>1</v>
      </c>
      <c r="G183" s="6"/>
      <c r="H183" s="6"/>
      <c r="I183" s="242"/>
      <c r="J183" s="6"/>
      <c r="K183" s="6"/>
      <c r="L183" s="6"/>
      <c r="M183" s="6"/>
      <c r="N183" s="6"/>
      <c r="O183" s="6"/>
      <c r="P183" s="6"/>
      <c r="Q183" s="190"/>
    </row>
    <row r="184" spans="2:17" x14ac:dyDescent="0.25">
      <c r="B184" s="380"/>
      <c r="C184" s="381"/>
      <c r="D184" s="189" t="s">
        <v>63</v>
      </c>
      <c r="E184" s="191">
        <f>216+1+1+9+1+12+2</f>
        <v>242</v>
      </c>
      <c r="F184" s="191">
        <v>2</v>
      </c>
      <c r="G184" s="6"/>
      <c r="H184" s="6"/>
      <c r="I184" s="242"/>
      <c r="J184" s="6"/>
      <c r="K184" s="6"/>
      <c r="L184" s="6"/>
      <c r="M184" s="6"/>
      <c r="N184" s="6"/>
      <c r="O184" s="191">
        <v>5</v>
      </c>
      <c r="P184" s="6"/>
      <c r="Q184" s="190"/>
    </row>
    <row r="185" spans="2:17" x14ac:dyDescent="0.25">
      <c r="B185" s="380"/>
      <c r="C185" s="381"/>
      <c r="D185" s="189" t="s">
        <v>64</v>
      </c>
      <c r="E185" s="6"/>
      <c r="F185" s="6"/>
      <c r="G185" s="6"/>
      <c r="H185" s="6"/>
      <c r="I185" s="242"/>
      <c r="J185" s="6"/>
      <c r="K185" s="6"/>
      <c r="L185" s="6"/>
      <c r="M185" s="6"/>
      <c r="N185" s="6"/>
      <c r="O185" s="6"/>
      <c r="P185" s="6"/>
      <c r="Q185" s="190"/>
    </row>
    <row r="186" spans="2:17" x14ac:dyDescent="0.25">
      <c r="B186" s="380"/>
      <c r="C186" s="381"/>
      <c r="D186" s="189" t="s">
        <v>65</v>
      </c>
      <c r="E186" s="6"/>
      <c r="F186" s="6"/>
      <c r="G186" s="6"/>
      <c r="H186" s="6"/>
      <c r="I186" s="242"/>
      <c r="J186" s="6"/>
      <c r="K186" s="6"/>
      <c r="L186" s="6"/>
      <c r="M186" s="6"/>
      <c r="N186" s="6"/>
      <c r="O186" s="6"/>
      <c r="P186" s="6"/>
      <c r="Q186" s="190"/>
    </row>
    <row r="187" spans="2:17" x14ac:dyDescent="0.25">
      <c r="B187" s="380"/>
      <c r="C187" s="381"/>
      <c r="D187" s="189" t="s">
        <v>66</v>
      </c>
      <c r="E187" s="6"/>
      <c r="F187" s="6"/>
      <c r="G187" s="6"/>
      <c r="H187" s="6"/>
      <c r="I187" s="242"/>
      <c r="J187" s="6"/>
      <c r="K187" s="6"/>
      <c r="L187" s="6"/>
      <c r="M187" s="6"/>
      <c r="N187" s="6"/>
      <c r="O187" s="6"/>
      <c r="P187" s="6"/>
      <c r="Q187" s="190"/>
    </row>
    <row r="188" spans="2:17" x14ac:dyDescent="0.25">
      <c r="B188" s="380"/>
      <c r="C188" s="381"/>
      <c r="D188" s="189" t="s">
        <v>67</v>
      </c>
      <c r="E188" s="6"/>
      <c r="F188" s="6"/>
      <c r="G188" s="6"/>
      <c r="H188" s="6"/>
      <c r="I188" s="242"/>
      <c r="J188" s="6"/>
      <c r="K188" s="6"/>
      <c r="L188" s="6"/>
      <c r="M188" s="6"/>
      <c r="N188" s="6"/>
      <c r="O188" s="6"/>
      <c r="P188" s="6"/>
      <c r="Q188" s="190"/>
    </row>
    <row r="189" spans="2:17" x14ac:dyDescent="0.25">
      <c r="B189" s="377" t="s">
        <v>15</v>
      </c>
      <c r="C189" s="378"/>
      <c r="D189" s="379"/>
      <c r="E189" s="193">
        <f>SUM(E177:E188)</f>
        <v>570</v>
      </c>
      <c r="F189" s="193">
        <f t="shared" ref="F189" si="150">SUM(F177:F188)</f>
        <v>4</v>
      </c>
      <c r="G189" s="193">
        <f t="shared" ref="G189" si="151">SUM(G177:G188)</f>
        <v>0</v>
      </c>
      <c r="H189" s="193">
        <f t="shared" ref="H189" si="152">SUM(H177:H188)</f>
        <v>0</v>
      </c>
      <c r="I189" s="243">
        <f t="shared" ref="I189" si="153">SUM(I177:I188)</f>
        <v>0</v>
      </c>
      <c r="J189" s="193">
        <f t="shared" ref="J189" si="154">SUM(J177:J188)</f>
        <v>28</v>
      </c>
      <c r="K189" s="193">
        <f t="shared" ref="K189" si="155">SUM(K177:K188)</f>
        <v>3022</v>
      </c>
      <c r="L189" s="193">
        <f t="shared" ref="L189" si="156">SUM(L177:L188)</f>
        <v>0</v>
      </c>
      <c r="M189" s="193">
        <f t="shared" ref="M189" si="157">SUM(M177:M188)</f>
        <v>0</v>
      </c>
      <c r="N189" s="193">
        <f t="shared" ref="N189" si="158">SUM(N177:N188)</f>
        <v>0</v>
      </c>
      <c r="O189" s="193">
        <f t="shared" ref="O189" si="159">SUM(O177:O188)</f>
        <v>5</v>
      </c>
      <c r="P189" s="193">
        <f t="shared" ref="P189" si="160">SUM(P177:P188)</f>
        <v>0</v>
      </c>
      <c r="Q189" s="194">
        <f t="shared" ref="Q189" si="161">SUM(Q177:Q188)</f>
        <v>0</v>
      </c>
    </row>
    <row r="190" spans="2:17" x14ac:dyDescent="0.25">
      <c r="B190" s="380">
        <v>15</v>
      </c>
      <c r="C190" s="381" t="s">
        <v>30</v>
      </c>
      <c r="D190" s="189" t="s">
        <v>56</v>
      </c>
      <c r="E190" s="191">
        <f>200+200</f>
        <v>400</v>
      </c>
      <c r="F190" s="6"/>
      <c r="G190" s="6"/>
      <c r="H190" s="6"/>
      <c r="I190" s="242"/>
      <c r="J190" s="6"/>
      <c r="K190" s="191">
        <f>30+2307</f>
        <v>2337</v>
      </c>
      <c r="L190" s="6"/>
      <c r="M190" s="6"/>
      <c r="N190" s="6"/>
      <c r="O190" s="6"/>
      <c r="P190" s="6"/>
      <c r="Q190" s="190"/>
    </row>
    <row r="191" spans="2:17" x14ac:dyDescent="0.25">
      <c r="B191" s="380"/>
      <c r="C191" s="381"/>
      <c r="D191" s="189" t="s">
        <v>57</v>
      </c>
      <c r="E191" s="6"/>
      <c r="F191" s="6"/>
      <c r="G191" s="6"/>
      <c r="H191" s="6"/>
      <c r="I191" s="242"/>
      <c r="J191" s="6"/>
      <c r="K191" s="6">
        <v>0</v>
      </c>
      <c r="L191" s="6"/>
      <c r="M191" s="6"/>
      <c r="N191" s="6"/>
      <c r="O191" s="6"/>
      <c r="P191" s="6"/>
      <c r="Q191" s="190"/>
    </row>
    <row r="192" spans="2:17" x14ac:dyDescent="0.25">
      <c r="B192" s="380"/>
      <c r="C192" s="381"/>
      <c r="D192" s="189" t="s">
        <v>58</v>
      </c>
      <c r="E192" s="191">
        <f>3+1+1</f>
        <v>5</v>
      </c>
      <c r="F192" s="6"/>
      <c r="G192" s="6"/>
      <c r="H192" s="6"/>
      <c r="I192" s="242"/>
      <c r="J192" s="6"/>
      <c r="K192" s="6"/>
      <c r="L192" s="6"/>
      <c r="M192" s="6"/>
      <c r="N192" s="6"/>
      <c r="O192" s="6"/>
      <c r="P192" s="6"/>
      <c r="Q192" s="190"/>
    </row>
    <row r="193" spans="2:17" x14ac:dyDescent="0.25">
      <c r="B193" s="380"/>
      <c r="C193" s="381"/>
      <c r="D193" s="189" t="s">
        <v>59</v>
      </c>
      <c r="E193" s="6"/>
      <c r="F193" s="6"/>
      <c r="G193" s="6"/>
      <c r="H193" s="6"/>
      <c r="I193" s="242"/>
      <c r="J193" s="6"/>
      <c r="K193" s="6"/>
      <c r="L193" s="6"/>
      <c r="M193" s="6"/>
      <c r="N193" s="6"/>
      <c r="O193" s="6"/>
      <c r="P193" s="6"/>
      <c r="Q193" s="190"/>
    </row>
    <row r="194" spans="2:17" x14ac:dyDescent="0.25">
      <c r="B194" s="380"/>
      <c r="C194" s="381"/>
      <c r="D194" s="189" t="s">
        <v>60</v>
      </c>
      <c r="E194" s="7"/>
      <c r="F194" s="6"/>
      <c r="G194" s="6"/>
      <c r="H194" s="6"/>
      <c r="I194" s="242"/>
      <c r="J194" s="6"/>
      <c r="K194" s="6"/>
      <c r="L194" s="6"/>
      <c r="M194" s="6"/>
      <c r="N194" s="6"/>
      <c r="O194" s="6"/>
      <c r="P194" s="6"/>
      <c r="Q194" s="190"/>
    </row>
    <row r="195" spans="2:17" x14ac:dyDescent="0.25">
      <c r="B195" s="380"/>
      <c r="C195" s="381"/>
      <c r="D195" s="189" t="s">
        <v>61</v>
      </c>
      <c r="E195" s="7"/>
      <c r="F195" s="6"/>
      <c r="G195" s="6"/>
      <c r="H195" s="6"/>
      <c r="I195" s="242"/>
      <c r="J195" s="6"/>
      <c r="K195" s="6"/>
      <c r="L195" s="6"/>
      <c r="M195" s="6"/>
      <c r="N195" s="6"/>
      <c r="O195" s="6"/>
      <c r="P195" s="6"/>
      <c r="Q195" s="190"/>
    </row>
    <row r="196" spans="2:17" x14ac:dyDescent="0.25">
      <c r="B196" s="380"/>
      <c r="C196" s="381"/>
      <c r="D196" s="189" t="s">
        <v>62</v>
      </c>
      <c r="E196" s="191">
        <f>1+1+2+1+4+1+5+1</f>
        <v>16</v>
      </c>
      <c r="F196" s="6"/>
      <c r="G196" s="6"/>
      <c r="H196" s="6"/>
      <c r="I196" s="242"/>
      <c r="J196" s="6"/>
      <c r="K196" s="6"/>
      <c r="L196" s="6"/>
      <c r="M196" s="6"/>
      <c r="N196" s="6"/>
      <c r="O196" s="191">
        <v>2</v>
      </c>
      <c r="P196" s="6"/>
      <c r="Q196" s="190"/>
    </row>
    <row r="197" spans="2:17" x14ac:dyDescent="0.25">
      <c r="B197" s="380"/>
      <c r="C197" s="381"/>
      <c r="D197" s="189" t="s">
        <v>63</v>
      </c>
      <c r="E197" s="191">
        <f>94+70+32+1+7</f>
        <v>204</v>
      </c>
      <c r="F197" s="6"/>
      <c r="G197" s="6"/>
      <c r="H197" s="191">
        <v>1</v>
      </c>
      <c r="I197" s="242"/>
      <c r="J197" s="6"/>
      <c r="K197" s="6"/>
      <c r="L197" s="6"/>
      <c r="M197" s="6"/>
      <c r="N197" s="6"/>
      <c r="O197" s="6"/>
      <c r="P197" s="6"/>
      <c r="Q197" s="190"/>
    </row>
    <row r="198" spans="2:17" x14ac:dyDescent="0.25">
      <c r="B198" s="380"/>
      <c r="C198" s="381"/>
      <c r="D198" s="189" t="s">
        <v>64</v>
      </c>
      <c r="E198" s="7"/>
      <c r="F198" s="6"/>
      <c r="G198" s="6"/>
      <c r="H198" s="6"/>
      <c r="I198" s="242"/>
      <c r="J198" s="6"/>
      <c r="K198" s="6"/>
      <c r="L198" s="6"/>
      <c r="M198" s="6"/>
      <c r="N198" s="6"/>
      <c r="O198" s="6"/>
      <c r="P198" s="6"/>
      <c r="Q198" s="190"/>
    </row>
    <row r="199" spans="2:17" x14ac:dyDescent="0.25">
      <c r="B199" s="380"/>
      <c r="C199" s="381"/>
      <c r="D199" s="189" t="s">
        <v>65</v>
      </c>
      <c r="E199" s="7"/>
      <c r="F199" s="6"/>
      <c r="G199" s="6"/>
      <c r="H199" s="6"/>
      <c r="I199" s="242"/>
      <c r="J199" s="6"/>
      <c r="K199" s="191">
        <v>200</v>
      </c>
      <c r="L199" s="6"/>
      <c r="M199" s="6"/>
      <c r="N199" s="6"/>
      <c r="O199" s="6"/>
      <c r="P199" s="6"/>
      <c r="Q199" s="190"/>
    </row>
    <row r="200" spans="2:17" x14ac:dyDescent="0.25">
      <c r="B200" s="380"/>
      <c r="C200" s="381"/>
      <c r="D200" s="189" t="s">
        <v>66</v>
      </c>
      <c r="E200" s="7"/>
      <c r="F200" s="6"/>
      <c r="G200" s="6"/>
      <c r="H200" s="6"/>
      <c r="I200" s="242"/>
      <c r="J200" s="6"/>
      <c r="K200" s="6"/>
      <c r="L200" s="6"/>
      <c r="M200" s="6"/>
      <c r="N200" s="6"/>
      <c r="O200" s="6"/>
      <c r="P200" s="6"/>
      <c r="Q200" s="190"/>
    </row>
    <row r="201" spans="2:17" x14ac:dyDescent="0.25">
      <c r="B201" s="380"/>
      <c r="C201" s="381"/>
      <c r="D201" s="189" t="s">
        <v>67</v>
      </c>
      <c r="E201" s="7"/>
      <c r="F201" s="6"/>
      <c r="G201" s="6"/>
      <c r="H201" s="6"/>
      <c r="I201" s="242"/>
      <c r="J201" s="6"/>
      <c r="K201" s="6"/>
      <c r="L201" s="6"/>
      <c r="M201" s="6"/>
      <c r="N201" s="6"/>
      <c r="O201" s="6"/>
      <c r="P201" s="6"/>
      <c r="Q201" s="190"/>
    </row>
    <row r="202" spans="2:17" x14ac:dyDescent="0.25">
      <c r="B202" s="377" t="s">
        <v>15</v>
      </c>
      <c r="C202" s="378"/>
      <c r="D202" s="379"/>
      <c r="E202" s="193">
        <f>SUM(E190:E201)</f>
        <v>625</v>
      </c>
      <c r="F202" s="193">
        <f t="shared" ref="F202" si="162">SUM(F190:F201)</f>
        <v>0</v>
      </c>
      <c r="G202" s="193">
        <f t="shared" ref="G202" si="163">SUM(G190:G201)</f>
        <v>0</v>
      </c>
      <c r="H202" s="193">
        <f t="shared" ref="H202" si="164">SUM(H190:H201)</f>
        <v>1</v>
      </c>
      <c r="I202" s="243">
        <f t="shared" ref="I202" si="165">SUM(I190:I201)</f>
        <v>0</v>
      </c>
      <c r="J202" s="193">
        <f t="shared" ref="J202" si="166">SUM(J190:J201)</f>
        <v>0</v>
      </c>
      <c r="K202" s="193">
        <f t="shared" ref="K202" si="167">SUM(K190:K201)</f>
        <v>2537</v>
      </c>
      <c r="L202" s="193">
        <f t="shared" ref="L202" si="168">SUM(L190:L201)</f>
        <v>0</v>
      </c>
      <c r="M202" s="193">
        <f t="shared" ref="M202" si="169">SUM(M190:M201)</f>
        <v>0</v>
      </c>
      <c r="N202" s="193">
        <f t="shared" ref="N202" si="170">SUM(N190:N201)</f>
        <v>0</v>
      </c>
      <c r="O202" s="193">
        <f t="shared" ref="O202" si="171">SUM(O190:O201)</f>
        <v>2</v>
      </c>
      <c r="P202" s="193">
        <f t="shared" ref="P202" si="172">SUM(P190:P201)</f>
        <v>0</v>
      </c>
      <c r="Q202" s="194">
        <f t="shared" ref="Q202" si="173">SUM(Q190:Q201)</f>
        <v>0</v>
      </c>
    </row>
    <row r="203" spans="2:17" x14ac:dyDescent="0.25">
      <c r="B203" s="380">
        <v>16</v>
      </c>
      <c r="C203" s="381" t="s">
        <v>33</v>
      </c>
      <c r="D203" s="195" t="s">
        <v>56</v>
      </c>
      <c r="E203" s="200">
        <v>57</v>
      </c>
      <c r="F203" s="196"/>
      <c r="G203" s="196"/>
      <c r="H203" s="196"/>
      <c r="I203" s="245"/>
      <c r="J203" s="196"/>
      <c r="K203" s="200">
        <v>115</v>
      </c>
      <c r="L203" s="196"/>
      <c r="M203" s="200">
        <v>0.5</v>
      </c>
      <c r="N203" s="196"/>
      <c r="O203" s="196"/>
      <c r="P203" s="196"/>
      <c r="Q203" s="197"/>
    </row>
    <row r="204" spans="2:17" x14ac:dyDescent="0.25">
      <c r="B204" s="380"/>
      <c r="C204" s="381"/>
      <c r="D204" s="189" t="s">
        <v>57</v>
      </c>
      <c r="E204" s="7"/>
      <c r="F204" s="6"/>
      <c r="G204" s="6"/>
      <c r="H204" s="6"/>
      <c r="I204" s="242"/>
      <c r="J204" s="6"/>
      <c r="K204" s="6">
        <v>0</v>
      </c>
      <c r="L204" s="6"/>
      <c r="M204" s="6"/>
      <c r="N204" s="6"/>
      <c r="O204" s="6"/>
      <c r="P204" s="6"/>
      <c r="Q204" s="190"/>
    </row>
    <row r="205" spans="2:17" x14ac:dyDescent="0.25">
      <c r="B205" s="380"/>
      <c r="C205" s="381"/>
      <c r="D205" s="189" t="s">
        <v>58</v>
      </c>
      <c r="E205" s="191">
        <f>1+1+1</f>
        <v>3</v>
      </c>
      <c r="F205" s="6"/>
      <c r="G205" s="6"/>
      <c r="H205" s="6"/>
      <c r="I205" s="242"/>
      <c r="J205" s="191">
        <f>25+1+2+45</f>
        <v>73</v>
      </c>
      <c r="K205" s="6"/>
      <c r="L205" s="6"/>
      <c r="M205" s="6"/>
      <c r="N205" s="6"/>
      <c r="O205" s="6"/>
      <c r="P205" s="6"/>
      <c r="Q205" s="190"/>
    </row>
    <row r="206" spans="2:17" x14ac:dyDescent="0.25">
      <c r="B206" s="380"/>
      <c r="C206" s="381"/>
      <c r="D206" s="189" t="s">
        <v>59</v>
      </c>
      <c r="E206" s="191">
        <v>15</v>
      </c>
      <c r="F206" s="6"/>
      <c r="G206" s="6"/>
      <c r="H206" s="6"/>
      <c r="I206" s="242"/>
      <c r="J206" s="6"/>
      <c r="K206" s="6"/>
      <c r="L206" s="6"/>
      <c r="M206" s="6"/>
      <c r="N206" s="6"/>
      <c r="O206" s="6"/>
      <c r="P206" s="6"/>
      <c r="Q206" s="190"/>
    </row>
    <row r="207" spans="2:17" x14ac:dyDescent="0.25">
      <c r="B207" s="380"/>
      <c r="C207" s="381"/>
      <c r="D207" s="189" t="s">
        <v>60</v>
      </c>
      <c r="E207" s="7"/>
      <c r="F207" s="6"/>
      <c r="G207" s="6"/>
      <c r="H207" s="6"/>
      <c r="I207" s="242"/>
      <c r="J207" s="6"/>
      <c r="K207" s="6"/>
      <c r="L207" s="6"/>
      <c r="M207" s="6"/>
      <c r="N207" s="6"/>
      <c r="O207" s="6"/>
      <c r="P207" s="6"/>
      <c r="Q207" s="190"/>
    </row>
    <row r="208" spans="2:17" x14ac:dyDescent="0.25">
      <c r="B208" s="380"/>
      <c r="C208" s="381"/>
      <c r="D208" s="189" t="s">
        <v>61</v>
      </c>
      <c r="E208" s="7"/>
      <c r="F208" s="6"/>
      <c r="G208" s="6"/>
      <c r="H208" s="6"/>
      <c r="I208" s="242"/>
      <c r="J208" s="6"/>
      <c r="K208" s="6"/>
      <c r="L208" s="6"/>
      <c r="M208" s="6"/>
      <c r="N208" s="6"/>
      <c r="O208" s="6"/>
      <c r="P208" s="6"/>
      <c r="Q208" s="190"/>
    </row>
    <row r="209" spans="2:17" x14ac:dyDescent="0.25">
      <c r="B209" s="380"/>
      <c r="C209" s="381"/>
      <c r="D209" s="189" t="s">
        <v>62</v>
      </c>
      <c r="E209" s="191">
        <f>1+2+2+1+7+4</f>
        <v>17</v>
      </c>
      <c r="F209" s="6"/>
      <c r="G209" s="6"/>
      <c r="H209" s="6"/>
      <c r="I209" s="242"/>
      <c r="J209" s="6"/>
      <c r="K209" s="6"/>
      <c r="L209" s="6"/>
      <c r="M209" s="6"/>
      <c r="N209" s="6"/>
      <c r="O209" s="191">
        <v>1</v>
      </c>
      <c r="P209" s="6"/>
      <c r="Q209" s="190"/>
    </row>
    <row r="210" spans="2:17" x14ac:dyDescent="0.25">
      <c r="B210" s="380"/>
      <c r="C210" s="381"/>
      <c r="D210" s="189" t="s">
        <v>63</v>
      </c>
      <c r="E210" s="191">
        <v>5</v>
      </c>
      <c r="F210" s="6"/>
      <c r="G210" s="6"/>
      <c r="H210" s="6"/>
      <c r="I210" s="242"/>
      <c r="J210" s="6"/>
      <c r="K210" s="6"/>
      <c r="L210" s="6"/>
      <c r="M210" s="6"/>
      <c r="N210" s="191">
        <v>1</v>
      </c>
      <c r="O210" s="6"/>
      <c r="P210" s="6"/>
      <c r="Q210" s="190"/>
    </row>
    <row r="211" spans="2:17" x14ac:dyDescent="0.25">
      <c r="B211" s="380"/>
      <c r="C211" s="381"/>
      <c r="D211" s="189" t="s">
        <v>64</v>
      </c>
      <c r="E211" s="7"/>
      <c r="F211" s="6"/>
      <c r="G211" s="6"/>
      <c r="H211" s="6"/>
      <c r="I211" s="242"/>
      <c r="J211" s="6"/>
      <c r="K211" s="6"/>
      <c r="L211" s="6"/>
      <c r="M211" s="6"/>
      <c r="N211" s="6"/>
      <c r="O211" s="6"/>
      <c r="P211" s="6"/>
      <c r="Q211" s="190"/>
    </row>
    <row r="212" spans="2:17" x14ac:dyDescent="0.25">
      <c r="B212" s="380"/>
      <c r="C212" s="381"/>
      <c r="D212" s="189" t="s">
        <v>65</v>
      </c>
      <c r="E212" s="7"/>
      <c r="F212" s="6"/>
      <c r="G212" s="6"/>
      <c r="H212" s="6"/>
      <c r="I212" s="242"/>
      <c r="J212" s="6"/>
      <c r="K212" s="6"/>
      <c r="L212" s="6"/>
      <c r="M212" s="6"/>
      <c r="N212" s="6"/>
      <c r="O212" s="6"/>
      <c r="P212" s="6"/>
      <c r="Q212" s="190"/>
    </row>
    <row r="213" spans="2:17" x14ac:dyDescent="0.25">
      <c r="B213" s="380"/>
      <c r="C213" s="381"/>
      <c r="D213" s="189" t="s">
        <v>66</v>
      </c>
      <c r="E213" s="7"/>
      <c r="F213" s="6"/>
      <c r="G213" s="6"/>
      <c r="H213" s="6"/>
      <c r="I213" s="242"/>
      <c r="J213" s="6"/>
      <c r="K213" s="6"/>
      <c r="L213" s="6"/>
      <c r="M213" s="6"/>
      <c r="N213" s="6"/>
      <c r="O213" s="6"/>
      <c r="P213" s="6"/>
      <c r="Q213" s="190"/>
    </row>
    <row r="214" spans="2:17" x14ac:dyDescent="0.25">
      <c r="B214" s="380"/>
      <c r="C214" s="381"/>
      <c r="D214" s="189" t="s">
        <v>67</v>
      </c>
      <c r="E214" s="7"/>
      <c r="F214" s="6"/>
      <c r="G214" s="6"/>
      <c r="H214" s="6"/>
      <c r="I214" s="242"/>
      <c r="J214" s="6"/>
      <c r="K214" s="6"/>
      <c r="L214" s="6"/>
      <c r="M214" s="6"/>
      <c r="N214" s="6"/>
      <c r="O214" s="6"/>
      <c r="P214" s="6"/>
      <c r="Q214" s="190"/>
    </row>
    <row r="215" spans="2:17" x14ac:dyDescent="0.25">
      <c r="B215" s="377" t="s">
        <v>15</v>
      </c>
      <c r="C215" s="378"/>
      <c r="D215" s="379"/>
      <c r="E215" s="193">
        <f>SUM(E203:E214)</f>
        <v>97</v>
      </c>
      <c r="F215" s="193">
        <f t="shared" ref="F215" si="174">SUM(F203:F214)</f>
        <v>0</v>
      </c>
      <c r="G215" s="193">
        <f t="shared" ref="G215" si="175">SUM(G203:G214)</f>
        <v>0</v>
      </c>
      <c r="H215" s="193">
        <f t="shared" ref="H215" si="176">SUM(H203:H214)</f>
        <v>0</v>
      </c>
      <c r="I215" s="243">
        <f t="shared" ref="I215" si="177">SUM(I203:I214)</f>
        <v>0</v>
      </c>
      <c r="J215" s="193">
        <f t="shared" ref="J215" si="178">SUM(J203:J214)</f>
        <v>73</v>
      </c>
      <c r="K215" s="193">
        <f t="shared" ref="K215" si="179">SUM(K203:K214)</f>
        <v>115</v>
      </c>
      <c r="L215" s="193">
        <f t="shared" ref="L215" si="180">SUM(L203:L214)</f>
        <v>0</v>
      </c>
      <c r="M215" s="193">
        <f t="shared" ref="M215" si="181">SUM(M203:M214)</f>
        <v>0.5</v>
      </c>
      <c r="N215" s="193">
        <f t="shared" ref="N215" si="182">SUM(N203:N214)</f>
        <v>1</v>
      </c>
      <c r="O215" s="193">
        <f t="shared" ref="O215" si="183">SUM(O203:O214)</f>
        <v>1</v>
      </c>
      <c r="P215" s="193">
        <f t="shared" ref="P215" si="184">SUM(P203:P214)</f>
        <v>0</v>
      </c>
      <c r="Q215" s="194">
        <f t="shared" ref="Q215" si="185">SUM(Q203:Q214)</f>
        <v>0</v>
      </c>
    </row>
    <row r="216" spans="2:17" x14ac:dyDescent="0.25">
      <c r="B216" s="380">
        <v>17</v>
      </c>
      <c r="C216" s="381" t="s">
        <v>36</v>
      </c>
      <c r="D216" s="195" t="s">
        <v>56</v>
      </c>
      <c r="E216" s="200">
        <f>110+270+1982+50</f>
        <v>2412</v>
      </c>
      <c r="F216" s="200">
        <v>1</v>
      </c>
      <c r="G216" s="196"/>
      <c r="H216" s="200">
        <v>1</v>
      </c>
      <c r="I216" s="245"/>
      <c r="J216" s="196"/>
      <c r="K216" s="200">
        <f>18+387+80</f>
        <v>485</v>
      </c>
      <c r="L216" s="200">
        <v>100</v>
      </c>
      <c r="M216" s="200">
        <f>3+230</f>
        <v>233</v>
      </c>
      <c r="N216" s="196"/>
      <c r="O216" s="196"/>
      <c r="P216" s="196"/>
      <c r="Q216" s="197"/>
    </row>
    <row r="217" spans="2:17" x14ac:dyDescent="0.25">
      <c r="B217" s="380"/>
      <c r="C217" s="381"/>
      <c r="D217" s="189" t="s">
        <v>57</v>
      </c>
      <c r="E217" s="7"/>
      <c r="F217" s="6"/>
      <c r="G217" s="6"/>
      <c r="H217" s="6"/>
      <c r="I217" s="242"/>
      <c r="J217" s="6"/>
      <c r="K217" s="6">
        <v>0</v>
      </c>
      <c r="L217" s="6"/>
      <c r="M217" s="6"/>
      <c r="N217" s="6"/>
      <c r="O217" s="6"/>
      <c r="P217" s="6"/>
      <c r="Q217" s="190"/>
    </row>
    <row r="218" spans="2:17" x14ac:dyDescent="0.25">
      <c r="B218" s="380"/>
      <c r="C218" s="381"/>
      <c r="D218" s="189" t="s">
        <v>58</v>
      </c>
      <c r="E218" s="191">
        <f>18+2</f>
        <v>20</v>
      </c>
      <c r="F218" s="6"/>
      <c r="G218" s="191">
        <v>1</v>
      </c>
      <c r="H218" s="6"/>
      <c r="I218" s="244">
        <v>1</v>
      </c>
      <c r="J218" s="6"/>
      <c r="K218" s="6"/>
      <c r="L218" s="6"/>
      <c r="M218" s="6"/>
      <c r="N218" s="6"/>
      <c r="O218" s="6"/>
      <c r="P218" s="6"/>
      <c r="Q218" s="190"/>
    </row>
    <row r="219" spans="2:17" x14ac:dyDescent="0.25">
      <c r="B219" s="380"/>
      <c r="C219" s="381"/>
      <c r="D219" s="189" t="s">
        <v>59</v>
      </c>
      <c r="E219" s="7"/>
      <c r="F219" s="6"/>
      <c r="G219" s="6"/>
      <c r="H219" s="6"/>
      <c r="I219" s="242"/>
      <c r="J219" s="6"/>
      <c r="K219" s="6"/>
      <c r="L219" s="6"/>
      <c r="M219" s="6"/>
      <c r="N219" s="6"/>
      <c r="O219" s="6"/>
      <c r="P219" s="6"/>
      <c r="Q219" s="190"/>
    </row>
    <row r="220" spans="2:17" x14ac:dyDescent="0.25">
      <c r="B220" s="380"/>
      <c r="C220" s="381"/>
      <c r="D220" s="189" t="s">
        <v>60</v>
      </c>
      <c r="E220" s="7"/>
      <c r="F220" s="6"/>
      <c r="G220" s="6"/>
      <c r="H220" s="6"/>
      <c r="I220" s="242"/>
      <c r="J220" s="6"/>
      <c r="K220" s="6"/>
      <c r="L220" s="6"/>
      <c r="M220" s="6"/>
      <c r="N220" s="6"/>
      <c r="O220" s="6"/>
      <c r="P220" s="6"/>
      <c r="Q220" s="190"/>
    </row>
    <row r="221" spans="2:17" x14ac:dyDescent="0.25">
      <c r="B221" s="380"/>
      <c r="C221" s="381"/>
      <c r="D221" s="189" t="s">
        <v>61</v>
      </c>
      <c r="E221" s="6"/>
      <c r="F221" s="6"/>
      <c r="G221" s="6"/>
      <c r="H221" s="6"/>
      <c r="I221" s="242"/>
      <c r="J221" s="6"/>
      <c r="K221" s="6"/>
      <c r="L221" s="6"/>
      <c r="M221" s="6"/>
      <c r="N221" s="6"/>
      <c r="O221" s="6"/>
      <c r="P221" s="6"/>
      <c r="Q221" s="190"/>
    </row>
    <row r="222" spans="2:17" x14ac:dyDescent="0.25">
      <c r="B222" s="380"/>
      <c r="C222" s="381"/>
      <c r="D222" s="189" t="s">
        <v>62</v>
      </c>
      <c r="E222" s="191">
        <f>1+1+1+6</f>
        <v>9</v>
      </c>
      <c r="F222" s="6"/>
      <c r="G222" s="6"/>
      <c r="H222" s="6"/>
      <c r="I222" s="242"/>
      <c r="J222" s="6"/>
      <c r="K222" s="6"/>
      <c r="L222" s="6"/>
      <c r="M222" s="6"/>
      <c r="N222" s="6"/>
      <c r="O222" s="191">
        <v>1</v>
      </c>
      <c r="P222" s="6"/>
      <c r="Q222" s="190"/>
    </row>
    <row r="223" spans="2:17" x14ac:dyDescent="0.25">
      <c r="B223" s="380"/>
      <c r="C223" s="381"/>
      <c r="D223" s="189" t="s">
        <v>63</v>
      </c>
      <c r="E223" s="191">
        <f>4+1</f>
        <v>5</v>
      </c>
      <c r="F223" s="6"/>
      <c r="G223" s="6"/>
      <c r="H223" s="6"/>
      <c r="I223" s="242"/>
      <c r="J223" s="6"/>
      <c r="K223" s="6"/>
      <c r="L223" s="6"/>
      <c r="M223" s="6"/>
      <c r="N223" s="6"/>
      <c r="O223" s="191">
        <v>1</v>
      </c>
      <c r="P223" s="6"/>
      <c r="Q223" s="190"/>
    </row>
    <row r="224" spans="2:17" x14ac:dyDescent="0.25">
      <c r="B224" s="380"/>
      <c r="C224" s="381"/>
      <c r="D224" s="189" t="s">
        <v>64</v>
      </c>
      <c r="E224" s="7"/>
      <c r="F224" s="6"/>
      <c r="G224" s="6"/>
      <c r="H224" s="6"/>
      <c r="I224" s="242"/>
      <c r="J224" s="6"/>
      <c r="K224" s="6"/>
      <c r="L224" s="6"/>
      <c r="M224" s="6"/>
      <c r="N224" s="6"/>
      <c r="O224" s="6"/>
      <c r="P224" s="6"/>
      <c r="Q224" s="190"/>
    </row>
    <row r="225" spans="2:17" x14ac:dyDescent="0.25">
      <c r="B225" s="380"/>
      <c r="C225" s="381"/>
      <c r="D225" s="189" t="s">
        <v>65</v>
      </c>
      <c r="E225" s="7"/>
      <c r="F225" s="6"/>
      <c r="G225" s="6"/>
      <c r="H225" s="6"/>
      <c r="I225" s="242"/>
      <c r="J225" s="6"/>
      <c r="K225" s="6"/>
      <c r="L225" s="6"/>
      <c r="M225" s="6"/>
      <c r="N225" s="6"/>
      <c r="O225" s="6"/>
      <c r="P225" s="6"/>
      <c r="Q225" s="190"/>
    </row>
    <row r="226" spans="2:17" x14ac:dyDescent="0.25">
      <c r="B226" s="380"/>
      <c r="C226" s="381"/>
      <c r="D226" s="189" t="s">
        <v>66</v>
      </c>
      <c r="E226" s="7"/>
      <c r="F226" s="6"/>
      <c r="G226" s="6"/>
      <c r="H226" s="6"/>
      <c r="I226" s="242"/>
      <c r="J226" s="6"/>
      <c r="K226" s="6"/>
      <c r="L226" s="6"/>
      <c r="M226" s="6"/>
      <c r="N226" s="6"/>
      <c r="O226" s="6"/>
      <c r="P226" s="6"/>
      <c r="Q226" s="190"/>
    </row>
    <row r="227" spans="2:17" x14ac:dyDescent="0.25">
      <c r="B227" s="380"/>
      <c r="C227" s="381"/>
      <c r="D227" s="189" t="s">
        <v>67</v>
      </c>
      <c r="E227" s="7"/>
      <c r="F227" s="6"/>
      <c r="G227" s="6"/>
      <c r="H227" s="6"/>
      <c r="I227" s="242"/>
      <c r="J227" s="6"/>
      <c r="K227" s="6"/>
      <c r="L227" s="6"/>
      <c r="M227" s="6"/>
      <c r="N227" s="6"/>
      <c r="O227" s="6"/>
      <c r="P227" s="6"/>
      <c r="Q227" s="190"/>
    </row>
    <row r="228" spans="2:17" x14ac:dyDescent="0.25">
      <c r="B228" s="377" t="s">
        <v>15</v>
      </c>
      <c r="C228" s="378"/>
      <c r="D228" s="379"/>
      <c r="E228" s="193">
        <f>SUM(E216:E227)</f>
        <v>2446</v>
      </c>
      <c r="F228" s="193">
        <f t="shared" ref="F228" si="186">SUM(F216:F227)</f>
        <v>1</v>
      </c>
      <c r="G228" s="193">
        <f t="shared" ref="G228" si="187">SUM(G216:G227)</f>
        <v>1</v>
      </c>
      <c r="H228" s="193">
        <f t="shared" ref="H228" si="188">SUM(H216:H227)</f>
        <v>1</v>
      </c>
      <c r="I228" s="243">
        <f t="shared" ref="I228" si="189">SUM(I216:I227)</f>
        <v>1</v>
      </c>
      <c r="J228" s="193">
        <f t="shared" ref="J228" si="190">SUM(J216:J227)</f>
        <v>0</v>
      </c>
      <c r="K228" s="193">
        <f t="shared" ref="K228" si="191">SUM(K216:K227)</f>
        <v>485</v>
      </c>
      <c r="L228" s="193">
        <f t="shared" ref="L228" si="192">SUM(L216:L227)</f>
        <v>100</v>
      </c>
      <c r="M228" s="193">
        <f t="shared" ref="M228" si="193">SUM(M216:M227)</f>
        <v>233</v>
      </c>
      <c r="N228" s="193">
        <f t="shared" ref="N228" si="194">SUM(N216:N227)</f>
        <v>0</v>
      </c>
      <c r="O228" s="193">
        <f t="shared" ref="O228" si="195">SUM(O216:O227)</f>
        <v>2</v>
      </c>
      <c r="P228" s="193">
        <f t="shared" ref="P228" si="196">SUM(P216:P227)</f>
        <v>0</v>
      </c>
      <c r="Q228" s="194">
        <f t="shared" ref="Q228" si="197">SUM(Q216:Q227)</f>
        <v>0</v>
      </c>
    </row>
    <row r="229" spans="2:17" x14ac:dyDescent="0.25">
      <c r="B229" s="380">
        <v>18</v>
      </c>
      <c r="C229" s="381" t="s">
        <v>34</v>
      </c>
      <c r="D229" s="189" t="s">
        <v>56</v>
      </c>
      <c r="E229" s="198"/>
      <c r="F229" s="198"/>
      <c r="G229" s="198"/>
      <c r="H229" s="198"/>
      <c r="I229" s="246"/>
      <c r="J229" s="198"/>
      <c r="K229" s="198"/>
      <c r="L229" s="198"/>
      <c r="M229" s="198"/>
      <c r="N229" s="198"/>
      <c r="O229" s="198"/>
      <c r="P229" s="198"/>
      <c r="Q229" s="199"/>
    </row>
    <row r="230" spans="2:17" x14ac:dyDescent="0.25">
      <c r="B230" s="380"/>
      <c r="C230" s="381"/>
      <c r="D230" s="189" t="s">
        <v>57</v>
      </c>
      <c r="E230" s="7"/>
      <c r="F230" s="6"/>
      <c r="G230" s="6"/>
      <c r="H230" s="6"/>
      <c r="I230" s="242"/>
      <c r="J230" s="6"/>
      <c r="K230" s="6">
        <v>0</v>
      </c>
      <c r="L230" s="6"/>
      <c r="M230" s="6"/>
      <c r="N230" s="6"/>
      <c r="O230" s="6"/>
      <c r="P230" s="6"/>
      <c r="Q230" s="190"/>
    </row>
    <row r="231" spans="2:17" x14ac:dyDescent="0.25">
      <c r="B231" s="380"/>
      <c r="C231" s="381"/>
      <c r="D231" s="189" t="s">
        <v>58</v>
      </c>
      <c r="E231" s="191">
        <f>2+2+2</f>
        <v>6</v>
      </c>
      <c r="F231" s="6"/>
      <c r="G231" s="6"/>
      <c r="H231" s="6"/>
      <c r="I231" s="242"/>
      <c r="J231" s="6"/>
      <c r="K231" s="6"/>
      <c r="L231" s="6"/>
      <c r="M231" s="6"/>
      <c r="N231" s="6"/>
      <c r="O231" s="6"/>
      <c r="P231" s="6"/>
      <c r="Q231" s="190"/>
    </row>
    <row r="232" spans="2:17" x14ac:dyDescent="0.25">
      <c r="B232" s="380"/>
      <c r="C232" s="381"/>
      <c r="D232" s="189" t="s">
        <v>59</v>
      </c>
      <c r="E232" s="6"/>
      <c r="F232" s="6"/>
      <c r="G232" s="6"/>
      <c r="H232" s="6"/>
      <c r="I232" s="242"/>
      <c r="J232" s="6"/>
      <c r="K232" s="6"/>
      <c r="L232" s="6"/>
      <c r="M232" s="6"/>
      <c r="N232" s="6"/>
      <c r="O232" s="6"/>
      <c r="P232" s="6"/>
      <c r="Q232" s="190"/>
    </row>
    <row r="233" spans="2:17" x14ac:dyDescent="0.25">
      <c r="B233" s="380"/>
      <c r="C233" s="381"/>
      <c r="D233" s="189" t="s">
        <v>60</v>
      </c>
      <c r="E233" s="7"/>
      <c r="F233" s="6"/>
      <c r="G233" s="6"/>
      <c r="H233" s="6"/>
      <c r="I233" s="242"/>
      <c r="J233" s="6"/>
      <c r="K233" s="6"/>
      <c r="L233" s="6"/>
      <c r="M233" s="6"/>
      <c r="N233" s="6"/>
      <c r="O233" s="6"/>
      <c r="P233" s="6"/>
      <c r="Q233" s="190"/>
    </row>
    <row r="234" spans="2:17" x14ac:dyDescent="0.25">
      <c r="B234" s="380"/>
      <c r="C234" s="381"/>
      <c r="D234" s="189" t="s">
        <v>61</v>
      </c>
      <c r="E234" s="6"/>
      <c r="F234" s="6"/>
      <c r="G234" s="6"/>
      <c r="H234" s="6"/>
      <c r="I234" s="242"/>
      <c r="J234" s="6"/>
      <c r="K234" s="6"/>
      <c r="L234" s="6"/>
      <c r="M234" s="6"/>
      <c r="N234" s="6"/>
      <c r="O234" s="6"/>
      <c r="P234" s="6"/>
      <c r="Q234" s="190"/>
    </row>
    <row r="235" spans="2:17" x14ac:dyDescent="0.25">
      <c r="B235" s="380"/>
      <c r="C235" s="381"/>
      <c r="D235" s="189" t="s">
        <v>62</v>
      </c>
      <c r="E235" s="191">
        <f>1+1+2</f>
        <v>4</v>
      </c>
      <c r="F235" s="191">
        <v>1</v>
      </c>
      <c r="G235" s="6"/>
      <c r="H235" s="6"/>
      <c r="I235" s="242"/>
      <c r="J235" s="6"/>
      <c r="K235" s="6"/>
      <c r="L235" s="6"/>
      <c r="M235" s="6"/>
      <c r="N235" s="6"/>
      <c r="O235" s="6"/>
      <c r="P235" s="6"/>
      <c r="Q235" s="190"/>
    </row>
    <row r="236" spans="2:17" x14ac:dyDescent="0.25">
      <c r="B236" s="380"/>
      <c r="C236" s="381"/>
      <c r="D236" s="189" t="s">
        <v>63</v>
      </c>
      <c r="E236" s="7"/>
      <c r="F236" s="6"/>
      <c r="G236" s="6"/>
      <c r="H236" s="6"/>
      <c r="I236" s="242"/>
      <c r="J236" s="6"/>
      <c r="K236" s="6"/>
      <c r="L236" s="6"/>
      <c r="M236" s="6"/>
      <c r="N236" s="6"/>
      <c r="O236" s="6"/>
      <c r="P236" s="6"/>
      <c r="Q236" s="190"/>
    </row>
    <row r="237" spans="2:17" x14ac:dyDescent="0.25">
      <c r="B237" s="380"/>
      <c r="C237" s="381"/>
      <c r="D237" s="189" t="s">
        <v>64</v>
      </c>
      <c r="E237" s="191">
        <f>7+3+1+1</f>
        <v>12</v>
      </c>
      <c r="F237" s="6"/>
      <c r="G237" s="191">
        <v>1</v>
      </c>
      <c r="H237" s="6"/>
      <c r="I237" s="242"/>
      <c r="J237" s="6"/>
      <c r="K237" s="6"/>
      <c r="L237" s="6"/>
      <c r="M237" s="6"/>
      <c r="N237" s="6"/>
      <c r="O237" s="6"/>
      <c r="P237" s="6"/>
      <c r="Q237" s="190"/>
    </row>
    <row r="238" spans="2:17" x14ac:dyDescent="0.25">
      <c r="B238" s="380"/>
      <c r="C238" s="381"/>
      <c r="D238" s="189" t="s">
        <v>65</v>
      </c>
      <c r="E238" s="6"/>
      <c r="F238" s="6"/>
      <c r="G238" s="6"/>
      <c r="H238" s="6"/>
      <c r="I238" s="242"/>
      <c r="J238" s="6"/>
      <c r="K238" s="6"/>
      <c r="L238" s="6"/>
      <c r="M238" s="6"/>
      <c r="N238" s="6"/>
      <c r="O238" s="6"/>
      <c r="P238" s="6"/>
      <c r="Q238" s="190"/>
    </row>
    <row r="239" spans="2:17" x14ac:dyDescent="0.25">
      <c r="B239" s="380"/>
      <c r="C239" s="381"/>
      <c r="D239" s="189" t="s">
        <v>66</v>
      </c>
      <c r="E239" s="6"/>
      <c r="F239" s="6"/>
      <c r="G239" s="6"/>
      <c r="H239" s="6"/>
      <c r="I239" s="242"/>
      <c r="J239" s="6"/>
      <c r="K239" s="6"/>
      <c r="L239" s="6"/>
      <c r="M239" s="6"/>
      <c r="N239" s="6"/>
      <c r="O239" s="6"/>
      <c r="P239" s="6"/>
      <c r="Q239" s="190"/>
    </row>
    <row r="240" spans="2:17" x14ac:dyDescent="0.25">
      <c r="B240" s="380"/>
      <c r="C240" s="381"/>
      <c r="D240" s="189" t="s">
        <v>67</v>
      </c>
      <c r="E240" s="6"/>
      <c r="F240" s="6"/>
      <c r="G240" s="6"/>
      <c r="H240" s="6"/>
      <c r="I240" s="242"/>
      <c r="J240" s="6"/>
      <c r="K240" s="6"/>
      <c r="L240" s="6"/>
      <c r="M240" s="6"/>
      <c r="N240" s="6"/>
      <c r="O240" s="6"/>
      <c r="P240" s="6"/>
      <c r="Q240" s="190"/>
    </row>
    <row r="241" spans="2:17" x14ac:dyDescent="0.25">
      <c r="B241" s="377" t="s">
        <v>15</v>
      </c>
      <c r="C241" s="378"/>
      <c r="D241" s="379"/>
      <c r="E241" s="193">
        <f>SUM(E229:E240)</f>
        <v>22</v>
      </c>
      <c r="F241" s="193">
        <f t="shared" ref="F241" si="198">SUM(F229:F240)</f>
        <v>1</v>
      </c>
      <c r="G241" s="193">
        <f t="shared" ref="G241" si="199">SUM(G229:G240)</f>
        <v>1</v>
      </c>
      <c r="H241" s="193">
        <f t="shared" ref="H241" si="200">SUM(H229:H240)</f>
        <v>0</v>
      </c>
      <c r="I241" s="243">
        <f t="shared" ref="I241" si="201">SUM(I229:I240)</f>
        <v>0</v>
      </c>
      <c r="J241" s="193">
        <f t="shared" ref="J241" si="202">SUM(J229:J240)</f>
        <v>0</v>
      </c>
      <c r="K241" s="193">
        <f t="shared" ref="K241" si="203">SUM(K229:K240)</f>
        <v>0</v>
      </c>
      <c r="L241" s="193">
        <f t="shared" ref="L241" si="204">SUM(L229:L240)</f>
        <v>0</v>
      </c>
      <c r="M241" s="193">
        <f t="shared" ref="M241" si="205">SUM(M229:M240)</f>
        <v>0</v>
      </c>
      <c r="N241" s="193">
        <f t="shared" ref="N241" si="206">SUM(N229:N240)</f>
        <v>0</v>
      </c>
      <c r="O241" s="193">
        <f t="shared" ref="O241" si="207">SUM(O229:O240)</f>
        <v>0</v>
      </c>
      <c r="P241" s="193">
        <f t="shared" ref="P241" si="208">SUM(P229:P240)</f>
        <v>0</v>
      </c>
      <c r="Q241" s="194">
        <f t="shared" ref="Q241" si="209">SUM(Q229:Q240)</f>
        <v>0</v>
      </c>
    </row>
    <row r="242" spans="2:17" x14ac:dyDescent="0.25">
      <c r="B242" s="380">
        <v>19</v>
      </c>
      <c r="C242" s="381" t="s">
        <v>38</v>
      </c>
      <c r="D242" s="189" t="s">
        <v>56</v>
      </c>
      <c r="E242" s="191">
        <f>140+190+21+125</f>
        <v>476</v>
      </c>
      <c r="F242" s="191">
        <v>4</v>
      </c>
      <c r="G242" s="191">
        <f>7+2+5</f>
        <v>14</v>
      </c>
      <c r="H242" s="191">
        <v>5</v>
      </c>
      <c r="I242" s="244">
        <v>3</v>
      </c>
      <c r="J242" s="191">
        <v>20.5</v>
      </c>
      <c r="K242" s="191">
        <f>1010+60+65+75</f>
        <v>1210</v>
      </c>
      <c r="L242" s="6"/>
      <c r="M242" s="191">
        <f>176.5+87+13220</f>
        <v>13483.5</v>
      </c>
      <c r="N242" s="191">
        <v>4</v>
      </c>
      <c r="O242" s="6"/>
      <c r="P242" s="6"/>
      <c r="Q242" s="190"/>
    </row>
    <row r="243" spans="2:17" x14ac:dyDescent="0.25">
      <c r="B243" s="380"/>
      <c r="C243" s="381"/>
      <c r="D243" s="189" t="s">
        <v>57</v>
      </c>
      <c r="E243" s="7"/>
      <c r="F243" s="6"/>
      <c r="G243" s="6"/>
      <c r="H243" s="6"/>
      <c r="I243" s="242"/>
      <c r="J243" s="6"/>
      <c r="K243" s="6">
        <v>0</v>
      </c>
      <c r="L243" s="6"/>
      <c r="M243" s="6"/>
      <c r="N243" s="6"/>
      <c r="O243" s="6"/>
      <c r="P243" s="7"/>
      <c r="Q243" s="190"/>
    </row>
    <row r="244" spans="2:17" x14ac:dyDescent="0.25">
      <c r="B244" s="380"/>
      <c r="C244" s="381"/>
      <c r="D244" s="189" t="s">
        <v>58</v>
      </c>
      <c r="E244" s="7"/>
      <c r="F244" s="6"/>
      <c r="G244" s="6"/>
      <c r="H244" s="6"/>
      <c r="I244" s="242"/>
      <c r="J244" s="6"/>
      <c r="K244" s="6"/>
      <c r="L244" s="6"/>
      <c r="M244" s="191">
        <v>30</v>
      </c>
      <c r="N244" s="6"/>
      <c r="O244" s="6"/>
      <c r="P244" s="6"/>
      <c r="Q244" s="190"/>
    </row>
    <row r="245" spans="2:17" x14ac:dyDescent="0.25">
      <c r="B245" s="380"/>
      <c r="C245" s="381"/>
      <c r="D245" s="189" t="s">
        <v>59</v>
      </c>
      <c r="E245" s="7"/>
      <c r="F245" s="6"/>
      <c r="G245" s="6"/>
      <c r="H245" s="6"/>
      <c r="I245" s="242"/>
      <c r="J245" s="6"/>
      <c r="K245" s="6"/>
      <c r="L245" s="6"/>
      <c r="M245" s="6"/>
      <c r="N245" s="6"/>
      <c r="O245" s="6"/>
      <c r="P245" s="6"/>
      <c r="Q245" s="190"/>
    </row>
    <row r="246" spans="2:17" x14ac:dyDescent="0.25">
      <c r="B246" s="380"/>
      <c r="C246" s="381"/>
      <c r="D246" s="189" t="s">
        <v>60</v>
      </c>
      <c r="E246" s="7"/>
      <c r="F246" s="6"/>
      <c r="G246" s="6"/>
      <c r="H246" s="6"/>
      <c r="I246" s="242"/>
      <c r="J246" s="6"/>
      <c r="K246" s="6"/>
      <c r="L246" s="6"/>
      <c r="M246" s="6"/>
      <c r="N246" s="6"/>
      <c r="O246" s="6"/>
      <c r="P246" s="6"/>
      <c r="Q246" s="190"/>
    </row>
    <row r="247" spans="2:17" x14ac:dyDescent="0.25">
      <c r="B247" s="380"/>
      <c r="C247" s="381"/>
      <c r="D247" s="189" t="s">
        <v>61</v>
      </c>
      <c r="E247" s="7"/>
      <c r="F247" s="6"/>
      <c r="G247" s="6"/>
      <c r="H247" s="6"/>
      <c r="I247" s="242"/>
      <c r="J247" s="6"/>
      <c r="K247" s="6"/>
      <c r="L247" s="6"/>
      <c r="M247" s="6"/>
      <c r="N247" s="6"/>
      <c r="O247" s="6"/>
      <c r="P247" s="6"/>
      <c r="Q247" s="190"/>
    </row>
    <row r="248" spans="2:17" x14ac:dyDescent="0.25">
      <c r="B248" s="380"/>
      <c r="C248" s="381"/>
      <c r="D248" s="189" t="s">
        <v>62</v>
      </c>
      <c r="E248" s="191">
        <f>3+1+1+1+2+3+1</f>
        <v>12</v>
      </c>
      <c r="F248" s="191">
        <v>1</v>
      </c>
      <c r="G248" s="6"/>
      <c r="H248" s="6"/>
      <c r="I248" s="242"/>
      <c r="J248" s="6"/>
      <c r="K248" s="6"/>
      <c r="L248" s="6"/>
      <c r="M248" s="6"/>
      <c r="N248" s="6"/>
      <c r="O248" s="6"/>
      <c r="P248" s="6"/>
      <c r="Q248" s="190"/>
    </row>
    <row r="249" spans="2:17" x14ac:dyDescent="0.25">
      <c r="B249" s="380"/>
      <c r="C249" s="381"/>
      <c r="D249" s="189" t="s">
        <v>63</v>
      </c>
      <c r="E249" s="191">
        <f>1+2+61</f>
        <v>64</v>
      </c>
      <c r="F249" s="191">
        <v>1</v>
      </c>
      <c r="G249" s="191">
        <v>5</v>
      </c>
      <c r="H249" s="6"/>
      <c r="I249" s="242"/>
      <c r="J249" s="6"/>
      <c r="K249" s="6"/>
      <c r="L249" s="6"/>
      <c r="M249" s="6"/>
      <c r="N249" s="6"/>
      <c r="O249" s="6"/>
      <c r="P249" s="6"/>
      <c r="Q249" s="190"/>
    </row>
    <row r="250" spans="2:17" x14ac:dyDescent="0.25">
      <c r="B250" s="380"/>
      <c r="C250" s="381"/>
      <c r="D250" s="189" t="s">
        <v>64</v>
      </c>
      <c r="E250" s="7"/>
      <c r="F250" s="6"/>
      <c r="G250" s="6"/>
      <c r="H250" s="6"/>
      <c r="I250" s="242"/>
      <c r="J250" s="6"/>
      <c r="K250" s="6"/>
      <c r="L250" s="6"/>
      <c r="M250" s="6"/>
      <c r="N250" s="6"/>
      <c r="O250" s="6"/>
      <c r="P250" s="6"/>
      <c r="Q250" s="190"/>
    </row>
    <row r="251" spans="2:17" x14ac:dyDescent="0.25">
      <c r="B251" s="380"/>
      <c r="C251" s="381"/>
      <c r="D251" s="189" t="s">
        <v>65</v>
      </c>
      <c r="E251" s="6"/>
      <c r="F251" s="6"/>
      <c r="G251" s="6"/>
      <c r="H251" s="6"/>
      <c r="I251" s="242"/>
      <c r="J251" s="6"/>
      <c r="K251" s="6"/>
      <c r="L251" s="6"/>
      <c r="M251" s="6"/>
      <c r="N251" s="6"/>
      <c r="O251" s="6"/>
      <c r="P251" s="6"/>
      <c r="Q251" s="190"/>
    </row>
    <row r="252" spans="2:17" x14ac:dyDescent="0.25">
      <c r="B252" s="380"/>
      <c r="C252" s="381"/>
      <c r="D252" s="189" t="s">
        <v>66</v>
      </c>
      <c r="E252" s="6"/>
      <c r="F252" s="6"/>
      <c r="G252" s="6"/>
      <c r="H252" s="6"/>
      <c r="I252" s="242"/>
      <c r="J252" s="6"/>
      <c r="K252" s="6"/>
      <c r="L252" s="6"/>
      <c r="M252" s="6"/>
      <c r="N252" s="6"/>
      <c r="O252" s="6"/>
      <c r="P252" s="6"/>
      <c r="Q252" s="190"/>
    </row>
    <row r="253" spans="2:17" x14ac:dyDescent="0.25">
      <c r="B253" s="380"/>
      <c r="C253" s="381"/>
      <c r="D253" s="189" t="s">
        <v>67</v>
      </c>
      <c r="E253" s="6"/>
      <c r="F253" s="6"/>
      <c r="G253" s="6"/>
      <c r="H253" s="6"/>
      <c r="I253" s="242"/>
      <c r="J253" s="6"/>
      <c r="K253" s="6"/>
      <c r="L253" s="6"/>
      <c r="M253" s="6"/>
      <c r="N253" s="6"/>
      <c r="O253" s="6"/>
      <c r="P253" s="6"/>
      <c r="Q253" s="190"/>
    </row>
    <row r="254" spans="2:17" x14ac:dyDescent="0.25">
      <c r="B254" s="377" t="s">
        <v>15</v>
      </c>
      <c r="C254" s="378"/>
      <c r="D254" s="379"/>
      <c r="E254" s="193">
        <f>SUM(E242:E253)</f>
        <v>552</v>
      </c>
      <c r="F254" s="193">
        <f t="shared" ref="F254" si="210">SUM(F242:F253)</f>
        <v>6</v>
      </c>
      <c r="G254" s="193">
        <f t="shared" ref="G254" si="211">SUM(G242:G253)</f>
        <v>19</v>
      </c>
      <c r="H254" s="193">
        <f t="shared" ref="H254" si="212">SUM(H242:H253)</f>
        <v>5</v>
      </c>
      <c r="I254" s="243">
        <f t="shared" ref="I254" si="213">SUM(I242:I253)</f>
        <v>3</v>
      </c>
      <c r="J254" s="193">
        <f t="shared" ref="J254" si="214">SUM(J242:J253)</f>
        <v>20.5</v>
      </c>
      <c r="K254" s="193">
        <f t="shared" ref="K254" si="215">SUM(K242:K253)</f>
        <v>1210</v>
      </c>
      <c r="L254" s="193">
        <f t="shared" ref="L254" si="216">SUM(L242:L253)</f>
        <v>0</v>
      </c>
      <c r="M254" s="193">
        <f t="shared" ref="M254" si="217">SUM(M242:M253)</f>
        <v>13513.5</v>
      </c>
      <c r="N254" s="193">
        <f t="shared" ref="N254" si="218">SUM(N242:N253)</f>
        <v>4</v>
      </c>
      <c r="O254" s="193">
        <f t="shared" ref="O254" si="219">SUM(O242:O253)</f>
        <v>0</v>
      </c>
      <c r="P254" s="193">
        <f t="shared" ref="P254" si="220">SUM(P242:P253)</f>
        <v>0</v>
      </c>
      <c r="Q254" s="194">
        <f t="shared" ref="Q254" si="221">SUM(Q242:Q253)</f>
        <v>0</v>
      </c>
    </row>
    <row r="255" spans="2:17" x14ac:dyDescent="0.25">
      <c r="B255" s="380">
        <v>20</v>
      </c>
      <c r="C255" s="381" t="s">
        <v>35</v>
      </c>
      <c r="D255" s="189" t="s">
        <v>56</v>
      </c>
      <c r="E255" s="7"/>
      <c r="F255" s="6"/>
      <c r="G255" s="6"/>
      <c r="H255" s="6"/>
      <c r="I255" s="242"/>
      <c r="J255" s="6"/>
      <c r="K255" s="6"/>
      <c r="L255" s="6"/>
      <c r="M255" s="6"/>
      <c r="N255" s="6"/>
      <c r="O255" s="6"/>
      <c r="P255" s="6"/>
      <c r="Q255" s="190"/>
    </row>
    <row r="256" spans="2:17" x14ac:dyDescent="0.25">
      <c r="B256" s="380"/>
      <c r="C256" s="381"/>
      <c r="D256" s="189" t="s">
        <v>57</v>
      </c>
      <c r="E256" s="6"/>
      <c r="F256" s="6"/>
      <c r="G256" s="6"/>
      <c r="H256" s="6"/>
      <c r="I256" s="242"/>
      <c r="J256" s="6"/>
      <c r="K256" s="6">
        <v>0</v>
      </c>
      <c r="L256" s="6"/>
      <c r="M256" s="7"/>
      <c r="N256" s="6"/>
      <c r="O256" s="6"/>
      <c r="P256" s="6"/>
      <c r="Q256" s="190"/>
    </row>
    <row r="257" spans="2:17" x14ac:dyDescent="0.25">
      <c r="B257" s="380"/>
      <c r="C257" s="381"/>
      <c r="D257" s="189" t="s">
        <v>58</v>
      </c>
      <c r="E257" s="191">
        <f>6+1</f>
        <v>7</v>
      </c>
      <c r="F257" s="191">
        <v>1</v>
      </c>
      <c r="G257" s="6"/>
      <c r="H257" s="6"/>
      <c r="I257" s="242"/>
      <c r="J257" s="191">
        <f>1+2+1+1</f>
        <v>5</v>
      </c>
      <c r="K257" s="6"/>
      <c r="L257" s="6"/>
      <c r="M257" s="6"/>
      <c r="N257" s="6"/>
      <c r="O257" s="6"/>
      <c r="P257" s="6"/>
      <c r="Q257" s="190"/>
    </row>
    <row r="258" spans="2:17" x14ac:dyDescent="0.25">
      <c r="B258" s="380"/>
      <c r="C258" s="381"/>
      <c r="D258" s="189" t="s">
        <v>59</v>
      </c>
      <c r="E258" s="7"/>
      <c r="F258" s="6"/>
      <c r="G258" s="6"/>
      <c r="H258" s="6"/>
      <c r="I258" s="242"/>
      <c r="J258" s="6"/>
      <c r="K258" s="6"/>
      <c r="L258" s="6"/>
      <c r="M258" s="7"/>
      <c r="N258" s="6"/>
      <c r="O258" s="6"/>
      <c r="P258" s="6"/>
      <c r="Q258" s="190"/>
    </row>
    <row r="259" spans="2:17" x14ac:dyDescent="0.25">
      <c r="B259" s="380"/>
      <c r="C259" s="381"/>
      <c r="D259" s="189" t="s">
        <v>60</v>
      </c>
      <c r="E259" s="6"/>
      <c r="F259" s="6"/>
      <c r="G259" s="6"/>
      <c r="H259" s="6"/>
      <c r="I259" s="242"/>
      <c r="J259" s="6"/>
      <c r="K259" s="6"/>
      <c r="L259" s="6"/>
      <c r="M259" s="6"/>
      <c r="N259" s="6"/>
      <c r="O259" s="6"/>
      <c r="P259" s="6"/>
      <c r="Q259" s="190"/>
    </row>
    <row r="260" spans="2:17" x14ac:dyDescent="0.25">
      <c r="B260" s="380"/>
      <c r="C260" s="381"/>
      <c r="D260" s="189" t="s">
        <v>61</v>
      </c>
      <c r="E260" s="7"/>
      <c r="F260" s="6"/>
      <c r="G260" s="6"/>
      <c r="H260" s="6"/>
      <c r="I260" s="242"/>
      <c r="J260" s="6"/>
      <c r="K260" s="6"/>
      <c r="L260" s="6"/>
      <c r="M260" s="7"/>
      <c r="N260" s="6"/>
      <c r="O260" s="6"/>
      <c r="P260" s="6"/>
      <c r="Q260" s="190"/>
    </row>
    <row r="261" spans="2:17" x14ac:dyDescent="0.25">
      <c r="B261" s="380"/>
      <c r="C261" s="381"/>
      <c r="D261" s="189" t="s">
        <v>62</v>
      </c>
      <c r="E261" s="191">
        <f>1+2+3+1+1+1</f>
        <v>9</v>
      </c>
      <c r="F261" s="6"/>
      <c r="G261" s="6"/>
      <c r="H261" s="6"/>
      <c r="I261" s="242"/>
      <c r="J261" s="6"/>
      <c r="K261" s="191">
        <v>1</v>
      </c>
      <c r="L261" s="6"/>
      <c r="M261" s="6"/>
      <c r="N261" s="6"/>
      <c r="O261" s="6"/>
      <c r="P261" s="6"/>
      <c r="Q261" s="190"/>
    </row>
    <row r="262" spans="2:17" x14ac:dyDescent="0.25">
      <c r="B262" s="380"/>
      <c r="C262" s="381"/>
      <c r="D262" s="189" t="s">
        <v>63</v>
      </c>
      <c r="E262" s="201">
        <v>3</v>
      </c>
      <c r="F262" s="6"/>
      <c r="G262" s="6"/>
      <c r="H262" s="6"/>
      <c r="I262" s="242"/>
      <c r="J262" s="6"/>
      <c r="K262" s="6"/>
      <c r="L262" s="6"/>
      <c r="M262" s="6"/>
      <c r="N262" s="6"/>
      <c r="O262" s="6"/>
      <c r="P262" s="6"/>
      <c r="Q262" s="190"/>
    </row>
    <row r="263" spans="2:17" x14ac:dyDescent="0.25">
      <c r="B263" s="380"/>
      <c r="C263" s="381"/>
      <c r="D263" s="189" t="s">
        <v>64</v>
      </c>
      <c r="E263" s="191">
        <v>5</v>
      </c>
      <c r="F263" s="6"/>
      <c r="G263" s="6"/>
      <c r="H263" s="6"/>
      <c r="I263" s="242"/>
      <c r="J263" s="6"/>
      <c r="K263" s="6"/>
      <c r="L263" s="6"/>
      <c r="M263" s="6"/>
      <c r="N263" s="6"/>
      <c r="O263" s="6"/>
      <c r="P263" s="6"/>
      <c r="Q263" s="190"/>
    </row>
    <row r="264" spans="2:17" x14ac:dyDescent="0.25">
      <c r="B264" s="380"/>
      <c r="C264" s="381"/>
      <c r="D264" s="189" t="s">
        <v>65</v>
      </c>
      <c r="E264" s="6"/>
      <c r="F264" s="6"/>
      <c r="G264" s="6"/>
      <c r="H264" s="6"/>
      <c r="I264" s="242"/>
      <c r="J264" s="6"/>
      <c r="K264" s="6"/>
      <c r="L264" s="6"/>
      <c r="M264" s="6"/>
      <c r="N264" s="6"/>
      <c r="O264" s="6"/>
      <c r="P264" s="6"/>
      <c r="Q264" s="190"/>
    </row>
    <row r="265" spans="2:17" x14ac:dyDescent="0.25">
      <c r="B265" s="380"/>
      <c r="C265" s="381"/>
      <c r="D265" s="189" t="s">
        <v>66</v>
      </c>
      <c r="E265" s="6"/>
      <c r="F265" s="6"/>
      <c r="G265" s="6"/>
      <c r="H265" s="6"/>
      <c r="I265" s="242"/>
      <c r="J265" s="6"/>
      <c r="K265" s="6"/>
      <c r="L265" s="6"/>
      <c r="M265" s="6"/>
      <c r="N265" s="6"/>
      <c r="O265" s="6"/>
      <c r="P265" s="6"/>
      <c r="Q265" s="190"/>
    </row>
    <row r="266" spans="2:17" x14ac:dyDescent="0.25">
      <c r="B266" s="380"/>
      <c r="C266" s="381"/>
      <c r="D266" s="189" t="s">
        <v>67</v>
      </c>
      <c r="E266" s="6"/>
      <c r="F266" s="6"/>
      <c r="G266" s="6"/>
      <c r="H266" s="6"/>
      <c r="I266" s="242"/>
      <c r="J266" s="6"/>
      <c r="K266" s="6"/>
      <c r="L266" s="6"/>
      <c r="M266" s="6"/>
      <c r="N266" s="6"/>
      <c r="O266" s="6"/>
      <c r="P266" s="6"/>
      <c r="Q266" s="190"/>
    </row>
    <row r="267" spans="2:17" x14ac:dyDescent="0.25">
      <c r="B267" s="377" t="s">
        <v>15</v>
      </c>
      <c r="C267" s="378"/>
      <c r="D267" s="379"/>
      <c r="E267" s="193">
        <f>SUM(E255:E266)</f>
        <v>24</v>
      </c>
      <c r="F267" s="193">
        <f t="shared" ref="F267" si="222">SUM(F255:F266)</f>
        <v>1</v>
      </c>
      <c r="G267" s="193">
        <f t="shared" ref="G267" si="223">SUM(G255:G266)</f>
        <v>0</v>
      </c>
      <c r="H267" s="193">
        <f t="shared" ref="H267" si="224">SUM(H255:H266)</f>
        <v>0</v>
      </c>
      <c r="I267" s="243">
        <f t="shared" ref="I267" si="225">SUM(I255:I266)</f>
        <v>0</v>
      </c>
      <c r="J267" s="193">
        <f t="shared" ref="J267" si="226">SUM(J255:J266)</f>
        <v>5</v>
      </c>
      <c r="K267" s="193">
        <f t="shared" ref="K267" si="227">SUM(K255:K266)</f>
        <v>1</v>
      </c>
      <c r="L267" s="193">
        <f t="shared" ref="L267" si="228">SUM(L255:L266)</f>
        <v>0</v>
      </c>
      <c r="M267" s="193">
        <f t="shared" ref="M267" si="229">SUM(M255:M266)</f>
        <v>0</v>
      </c>
      <c r="N267" s="193">
        <f t="shared" ref="N267" si="230">SUM(N255:N266)</f>
        <v>0</v>
      </c>
      <c r="O267" s="193">
        <f t="shared" ref="O267" si="231">SUM(O255:O266)</f>
        <v>0</v>
      </c>
      <c r="P267" s="193">
        <f t="shared" ref="P267" si="232">SUM(P255:P266)</f>
        <v>0</v>
      </c>
      <c r="Q267" s="194">
        <f t="shared" ref="Q267" si="233">SUM(Q255:Q266)</f>
        <v>0</v>
      </c>
    </row>
    <row r="268" spans="2:17" x14ac:dyDescent="0.25">
      <c r="B268" s="380">
        <v>21</v>
      </c>
      <c r="C268" s="400" t="s">
        <v>39</v>
      </c>
      <c r="D268" s="189" t="s">
        <v>56</v>
      </c>
      <c r="E268" s="191">
        <v>15</v>
      </c>
      <c r="F268" s="191">
        <v>1</v>
      </c>
      <c r="G268" s="6"/>
      <c r="H268" s="6"/>
      <c r="I268" s="242"/>
      <c r="J268" s="6"/>
      <c r="K268" s="6"/>
      <c r="L268" s="6"/>
      <c r="M268" s="6"/>
      <c r="N268" s="6"/>
      <c r="O268" s="6"/>
      <c r="P268" s="6"/>
      <c r="Q268" s="190"/>
    </row>
    <row r="269" spans="2:17" x14ac:dyDescent="0.25">
      <c r="B269" s="380"/>
      <c r="C269" s="400"/>
      <c r="D269" s="189" t="s">
        <v>57</v>
      </c>
      <c r="E269" s="6"/>
      <c r="F269" s="6"/>
      <c r="G269" s="6"/>
      <c r="H269" s="6"/>
      <c r="I269" s="242"/>
      <c r="J269" s="6"/>
      <c r="K269" s="6">
        <v>0</v>
      </c>
      <c r="L269" s="6"/>
      <c r="M269" s="6"/>
      <c r="N269" s="6"/>
      <c r="O269" s="6"/>
      <c r="P269" s="6"/>
      <c r="Q269" s="190"/>
    </row>
    <row r="270" spans="2:17" x14ac:dyDescent="0.25">
      <c r="B270" s="380"/>
      <c r="C270" s="400"/>
      <c r="D270" s="189" t="s">
        <v>58</v>
      </c>
      <c r="E270" s="191">
        <v>2</v>
      </c>
      <c r="F270" s="6"/>
      <c r="G270" s="6"/>
      <c r="H270" s="6"/>
      <c r="I270" s="242"/>
      <c r="J270" s="6"/>
      <c r="K270" s="6"/>
      <c r="L270" s="6"/>
      <c r="M270" s="6"/>
      <c r="N270" s="6"/>
      <c r="O270" s="6"/>
      <c r="P270" s="6"/>
      <c r="Q270" s="190"/>
    </row>
    <row r="271" spans="2:17" x14ac:dyDescent="0.25">
      <c r="B271" s="380"/>
      <c r="C271" s="400"/>
      <c r="D271" s="189" t="s">
        <v>59</v>
      </c>
      <c r="E271" s="6"/>
      <c r="F271" s="6"/>
      <c r="G271" s="6"/>
      <c r="H271" s="6"/>
      <c r="I271" s="242"/>
      <c r="J271" s="6"/>
      <c r="K271" s="6"/>
      <c r="L271" s="6"/>
      <c r="M271" s="7"/>
      <c r="N271" s="6"/>
      <c r="O271" s="6"/>
      <c r="P271" s="6"/>
      <c r="Q271" s="190"/>
    </row>
    <row r="272" spans="2:17" x14ac:dyDescent="0.25">
      <c r="B272" s="380"/>
      <c r="C272" s="400"/>
      <c r="D272" s="189" t="s">
        <v>60</v>
      </c>
      <c r="E272" s="7"/>
      <c r="F272" s="6"/>
      <c r="G272" s="6"/>
      <c r="H272" s="6"/>
      <c r="I272" s="242"/>
      <c r="J272" s="6"/>
      <c r="K272" s="6"/>
      <c r="L272" s="6"/>
      <c r="M272" s="6"/>
      <c r="N272" s="6"/>
      <c r="O272" s="6"/>
      <c r="P272" s="6"/>
      <c r="Q272" s="190"/>
    </row>
    <row r="273" spans="2:17" x14ac:dyDescent="0.25">
      <c r="B273" s="380"/>
      <c r="C273" s="400"/>
      <c r="D273" s="189" t="s">
        <v>61</v>
      </c>
      <c r="E273" s="6"/>
      <c r="F273" s="6"/>
      <c r="G273" s="6"/>
      <c r="H273" s="6"/>
      <c r="I273" s="242"/>
      <c r="J273" s="6"/>
      <c r="K273" s="6"/>
      <c r="L273" s="6"/>
      <c r="M273" s="6"/>
      <c r="N273" s="6"/>
      <c r="O273" s="6"/>
      <c r="P273" s="6"/>
      <c r="Q273" s="190"/>
    </row>
    <row r="274" spans="2:17" x14ac:dyDescent="0.25">
      <c r="B274" s="380"/>
      <c r="C274" s="400"/>
      <c r="D274" s="189" t="s">
        <v>62</v>
      </c>
      <c r="E274" s="191">
        <f>1+6+2+3+2+1</f>
        <v>15</v>
      </c>
      <c r="F274" s="6"/>
      <c r="G274" s="6"/>
      <c r="H274" s="6"/>
      <c r="I274" s="242"/>
      <c r="J274" s="6"/>
      <c r="K274" s="6"/>
      <c r="L274" s="6"/>
      <c r="M274" s="6"/>
      <c r="N274" s="6"/>
      <c r="O274" s="6"/>
      <c r="P274" s="6"/>
      <c r="Q274" s="190"/>
    </row>
    <row r="275" spans="2:17" x14ac:dyDescent="0.25">
      <c r="B275" s="380"/>
      <c r="C275" s="400"/>
      <c r="D275" s="189" t="s">
        <v>63</v>
      </c>
      <c r="E275" s="191">
        <f>2+6</f>
        <v>8</v>
      </c>
      <c r="F275" s="6"/>
      <c r="G275" s="191">
        <v>1</v>
      </c>
      <c r="H275" s="6"/>
      <c r="I275" s="242"/>
      <c r="J275" s="6"/>
      <c r="K275" s="6"/>
      <c r="L275" s="6"/>
      <c r="M275" s="6"/>
      <c r="N275" s="6"/>
      <c r="O275" s="6"/>
      <c r="P275" s="6"/>
      <c r="Q275" s="190"/>
    </row>
    <row r="276" spans="2:17" x14ac:dyDescent="0.25">
      <c r="B276" s="380"/>
      <c r="C276" s="400"/>
      <c r="D276" s="189" t="s">
        <v>64</v>
      </c>
      <c r="E276" s="7"/>
      <c r="F276" s="6"/>
      <c r="G276" s="6"/>
      <c r="H276" s="6"/>
      <c r="I276" s="242"/>
      <c r="J276" s="6"/>
      <c r="K276" s="6"/>
      <c r="L276" s="6"/>
      <c r="M276" s="6"/>
      <c r="N276" s="6"/>
      <c r="O276" s="6"/>
      <c r="P276" s="6"/>
      <c r="Q276" s="190"/>
    </row>
    <row r="277" spans="2:17" x14ac:dyDescent="0.25">
      <c r="B277" s="380"/>
      <c r="C277" s="400"/>
      <c r="D277" s="189" t="s">
        <v>65</v>
      </c>
      <c r="E277" s="6"/>
      <c r="F277" s="6"/>
      <c r="G277" s="6"/>
      <c r="H277" s="6"/>
      <c r="I277" s="242"/>
      <c r="J277" s="6"/>
      <c r="K277" s="6"/>
      <c r="L277" s="6"/>
      <c r="M277" s="6"/>
      <c r="N277" s="6"/>
      <c r="O277" s="6"/>
      <c r="P277" s="6"/>
      <c r="Q277" s="190"/>
    </row>
    <row r="278" spans="2:17" x14ac:dyDescent="0.25">
      <c r="B278" s="380"/>
      <c r="C278" s="400"/>
      <c r="D278" s="189" t="s">
        <v>66</v>
      </c>
      <c r="E278" s="6"/>
      <c r="F278" s="6"/>
      <c r="G278" s="6"/>
      <c r="H278" s="6"/>
      <c r="I278" s="242"/>
      <c r="J278" s="6"/>
      <c r="K278" s="6"/>
      <c r="L278" s="6"/>
      <c r="M278" s="6"/>
      <c r="N278" s="6"/>
      <c r="O278" s="6"/>
      <c r="P278" s="6"/>
      <c r="Q278" s="190"/>
    </row>
    <row r="279" spans="2:17" x14ac:dyDescent="0.25">
      <c r="B279" s="380"/>
      <c r="C279" s="400"/>
      <c r="D279" s="189" t="s">
        <v>67</v>
      </c>
      <c r="E279" s="6"/>
      <c r="F279" s="6"/>
      <c r="G279" s="6"/>
      <c r="H279" s="6"/>
      <c r="I279" s="242"/>
      <c r="J279" s="6"/>
      <c r="K279" s="6"/>
      <c r="L279" s="6"/>
      <c r="M279" s="6"/>
      <c r="N279" s="6"/>
      <c r="O279" s="6"/>
      <c r="P279" s="6"/>
      <c r="Q279" s="190"/>
    </row>
    <row r="280" spans="2:17" x14ac:dyDescent="0.25">
      <c r="B280" s="377" t="s">
        <v>15</v>
      </c>
      <c r="C280" s="378"/>
      <c r="D280" s="379"/>
      <c r="E280" s="193">
        <f>SUM(E268:E279)</f>
        <v>40</v>
      </c>
      <c r="F280" s="193">
        <f t="shared" ref="F280" si="234">SUM(F268:F279)</f>
        <v>1</v>
      </c>
      <c r="G280" s="193">
        <f t="shared" ref="G280" si="235">SUM(G268:G279)</f>
        <v>1</v>
      </c>
      <c r="H280" s="193">
        <f t="shared" ref="H280" si="236">SUM(H268:H279)</f>
        <v>0</v>
      </c>
      <c r="I280" s="243">
        <f t="shared" ref="I280" si="237">SUM(I268:I279)</f>
        <v>0</v>
      </c>
      <c r="J280" s="193">
        <f t="shared" ref="J280" si="238">SUM(J268:J279)</f>
        <v>0</v>
      </c>
      <c r="K280" s="193">
        <f t="shared" ref="K280" si="239">SUM(K268:K279)</f>
        <v>0</v>
      </c>
      <c r="L280" s="193">
        <f t="shared" ref="L280" si="240">SUM(L268:L279)</f>
        <v>0</v>
      </c>
      <c r="M280" s="193">
        <f t="shared" ref="M280" si="241">SUM(M268:M279)</f>
        <v>0</v>
      </c>
      <c r="N280" s="193">
        <f t="shared" ref="N280" si="242">SUM(N268:N279)</f>
        <v>0</v>
      </c>
      <c r="O280" s="193">
        <f t="shared" ref="O280" si="243">SUM(O268:O279)</f>
        <v>0</v>
      </c>
      <c r="P280" s="193">
        <f t="shared" ref="P280" si="244">SUM(P268:P279)</f>
        <v>0</v>
      </c>
      <c r="Q280" s="194">
        <f t="shared" ref="Q280" si="245">SUM(Q268:Q279)</f>
        <v>0</v>
      </c>
    </row>
    <row r="281" spans="2:17" x14ac:dyDescent="0.25">
      <c r="B281" s="380">
        <v>22</v>
      </c>
      <c r="C281" s="381" t="s">
        <v>23</v>
      </c>
      <c r="D281" s="189" t="s">
        <v>56</v>
      </c>
      <c r="E281" s="6"/>
      <c r="F281" s="6"/>
      <c r="G281" s="6"/>
      <c r="H281" s="6"/>
      <c r="I281" s="242"/>
      <c r="J281" s="6"/>
      <c r="K281" s="6"/>
      <c r="L281" s="6"/>
      <c r="M281" s="6"/>
      <c r="N281" s="6"/>
      <c r="O281" s="6"/>
      <c r="P281" s="6"/>
      <c r="Q281" s="190"/>
    </row>
    <row r="282" spans="2:17" x14ac:dyDescent="0.25">
      <c r="B282" s="380"/>
      <c r="C282" s="381"/>
      <c r="D282" s="189" t="s">
        <v>57</v>
      </c>
      <c r="E282" s="7"/>
      <c r="F282" s="6"/>
      <c r="G282" s="6"/>
      <c r="H282" s="6"/>
      <c r="I282" s="242"/>
      <c r="J282" s="6"/>
      <c r="K282" s="6">
        <v>0</v>
      </c>
      <c r="L282" s="6"/>
      <c r="M282" s="6"/>
      <c r="N282" s="6"/>
      <c r="O282" s="6"/>
      <c r="P282" s="6"/>
      <c r="Q282" s="190"/>
    </row>
    <row r="283" spans="2:17" x14ac:dyDescent="0.25">
      <c r="B283" s="380"/>
      <c r="C283" s="381"/>
      <c r="D283" s="189" t="s">
        <v>58</v>
      </c>
      <c r="E283" s="7"/>
      <c r="F283" s="6"/>
      <c r="G283" s="6"/>
      <c r="H283" s="6"/>
      <c r="I283" s="242"/>
      <c r="J283" s="7"/>
      <c r="K283" s="7"/>
      <c r="L283" s="6"/>
      <c r="M283" s="6"/>
      <c r="N283" s="6"/>
      <c r="O283" s="6"/>
      <c r="P283" s="6"/>
      <c r="Q283" s="190"/>
    </row>
    <row r="284" spans="2:17" x14ac:dyDescent="0.25">
      <c r="B284" s="380"/>
      <c r="C284" s="381"/>
      <c r="D284" s="189" t="s">
        <v>59</v>
      </c>
      <c r="E284" s="7"/>
      <c r="F284" s="6"/>
      <c r="G284" s="6"/>
      <c r="H284" s="6"/>
      <c r="I284" s="242"/>
      <c r="J284" s="6"/>
      <c r="K284" s="7"/>
      <c r="L284" s="6"/>
      <c r="M284" s="6"/>
      <c r="N284" s="6"/>
      <c r="O284" s="6"/>
      <c r="P284" s="6"/>
      <c r="Q284" s="190"/>
    </row>
    <row r="285" spans="2:17" x14ac:dyDescent="0.25">
      <c r="B285" s="380"/>
      <c r="C285" s="381"/>
      <c r="D285" s="189" t="s">
        <v>60</v>
      </c>
      <c r="E285" s="7"/>
      <c r="F285" s="6"/>
      <c r="G285" s="6"/>
      <c r="H285" s="6"/>
      <c r="I285" s="242"/>
      <c r="J285" s="6"/>
      <c r="K285" s="7"/>
      <c r="L285" s="6"/>
      <c r="M285" s="6"/>
      <c r="N285" s="6"/>
      <c r="O285" s="6"/>
      <c r="P285" s="6"/>
      <c r="Q285" s="190"/>
    </row>
    <row r="286" spans="2:17" x14ac:dyDescent="0.25">
      <c r="B286" s="380"/>
      <c r="C286" s="381"/>
      <c r="D286" s="189" t="s">
        <v>61</v>
      </c>
      <c r="E286" s="7"/>
      <c r="F286" s="6"/>
      <c r="G286" s="6"/>
      <c r="H286" s="6"/>
      <c r="I286" s="242"/>
      <c r="J286" s="6"/>
      <c r="K286" s="7"/>
      <c r="L286" s="7"/>
      <c r="M286" s="6"/>
      <c r="N286" s="6"/>
      <c r="O286" s="6"/>
      <c r="P286" s="6"/>
      <c r="Q286" s="190"/>
    </row>
    <row r="287" spans="2:17" x14ac:dyDescent="0.25">
      <c r="B287" s="380"/>
      <c r="C287" s="381"/>
      <c r="D287" s="189" t="s">
        <v>62</v>
      </c>
      <c r="E287" s="191">
        <f>10+10+14+36+9+13+48+13+1</f>
        <v>154</v>
      </c>
      <c r="F287" s="6"/>
      <c r="G287" s="6"/>
      <c r="H287" s="6"/>
      <c r="I287" s="242"/>
      <c r="J287" s="6"/>
      <c r="K287" s="6"/>
      <c r="L287" s="6"/>
      <c r="M287" s="6"/>
      <c r="N287" s="6"/>
      <c r="O287" s="6">
        <v>1</v>
      </c>
      <c r="P287" s="6"/>
      <c r="Q287" s="190"/>
    </row>
    <row r="288" spans="2:17" x14ac:dyDescent="0.25">
      <c r="B288" s="380"/>
      <c r="C288" s="381"/>
      <c r="D288" s="189" t="s">
        <v>63</v>
      </c>
      <c r="E288" s="191">
        <v>183</v>
      </c>
      <c r="F288" s="6"/>
      <c r="G288" s="6"/>
      <c r="H288" s="6"/>
      <c r="I288" s="242"/>
      <c r="J288" s="6"/>
      <c r="K288" s="6"/>
      <c r="L288" s="6"/>
      <c r="M288" s="6"/>
      <c r="N288" s="6"/>
      <c r="O288" s="6"/>
      <c r="P288" s="6"/>
      <c r="Q288" s="190"/>
    </row>
    <row r="289" spans="2:17" x14ac:dyDescent="0.25">
      <c r="B289" s="380"/>
      <c r="C289" s="381"/>
      <c r="D289" s="189" t="s">
        <v>64</v>
      </c>
      <c r="E289" s="6"/>
      <c r="F289" s="6"/>
      <c r="G289" s="6"/>
      <c r="H289" s="6"/>
      <c r="I289" s="242"/>
      <c r="J289" s="6"/>
      <c r="K289" s="7"/>
      <c r="L289" s="6"/>
      <c r="M289" s="6"/>
      <c r="N289" s="6"/>
      <c r="O289" s="6"/>
      <c r="P289" s="6"/>
      <c r="Q289" s="190"/>
    </row>
    <row r="290" spans="2:17" x14ac:dyDescent="0.25">
      <c r="B290" s="380"/>
      <c r="C290" s="381"/>
      <c r="D290" s="189" t="s">
        <v>65</v>
      </c>
      <c r="E290" s="7"/>
      <c r="F290" s="6"/>
      <c r="G290" s="6"/>
      <c r="H290" s="6"/>
      <c r="I290" s="242"/>
      <c r="J290" s="6"/>
      <c r="K290" s="7"/>
      <c r="L290" s="6"/>
      <c r="M290" s="6"/>
      <c r="N290" s="6"/>
      <c r="O290" s="6"/>
      <c r="P290" s="6"/>
      <c r="Q290" s="190"/>
    </row>
    <row r="291" spans="2:17" x14ac:dyDescent="0.25">
      <c r="B291" s="380"/>
      <c r="C291" s="381"/>
      <c r="D291" s="189" t="s">
        <v>66</v>
      </c>
      <c r="E291" s="7"/>
      <c r="F291" s="6"/>
      <c r="G291" s="6"/>
      <c r="H291" s="6"/>
      <c r="I291" s="242"/>
      <c r="J291" s="6"/>
      <c r="K291" s="7"/>
      <c r="L291" s="6"/>
      <c r="M291" s="6"/>
      <c r="N291" s="6"/>
      <c r="O291" s="6"/>
      <c r="P291" s="6"/>
      <c r="Q291" s="190"/>
    </row>
    <row r="292" spans="2:17" x14ac:dyDescent="0.25">
      <c r="B292" s="380"/>
      <c r="C292" s="381"/>
      <c r="D292" s="189" t="s">
        <v>67</v>
      </c>
      <c r="E292" s="7"/>
      <c r="F292" s="6"/>
      <c r="G292" s="6"/>
      <c r="H292" s="6"/>
      <c r="I292" s="242"/>
      <c r="J292" s="6"/>
      <c r="K292" s="7"/>
      <c r="L292" s="6"/>
      <c r="M292" s="6"/>
      <c r="N292" s="6"/>
      <c r="O292" s="6"/>
      <c r="P292" s="6"/>
      <c r="Q292" s="190"/>
    </row>
    <row r="293" spans="2:17" x14ac:dyDescent="0.25">
      <c r="B293" s="377" t="s">
        <v>15</v>
      </c>
      <c r="C293" s="378"/>
      <c r="D293" s="379"/>
      <c r="E293" s="193">
        <f>SUM(E281:E292)</f>
        <v>337</v>
      </c>
      <c r="F293" s="193">
        <f t="shared" ref="F293" si="246">SUM(F281:F292)</f>
        <v>0</v>
      </c>
      <c r="G293" s="193">
        <f t="shared" ref="G293" si="247">SUM(G281:G292)</f>
        <v>0</v>
      </c>
      <c r="H293" s="193">
        <f t="shared" ref="H293" si="248">SUM(H281:H292)</f>
        <v>0</v>
      </c>
      <c r="I293" s="243">
        <f t="shared" ref="I293" si="249">SUM(I281:I292)</f>
        <v>0</v>
      </c>
      <c r="J293" s="193">
        <f t="shared" ref="J293" si="250">SUM(J281:J292)</f>
        <v>0</v>
      </c>
      <c r="K293" s="193">
        <f t="shared" ref="K293" si="251">SUM(K281:K292)</f>
        <v>0</v>
      </c>
      <c r="L293" s="193">
        <f t="shared" ref="L293" si="252">SUM(L281:L292)</f>
        <v>0</v>
      </c>
      <c r="M293" s="193">
        <f t="shared" ref="M293" si="253">SUM(M281:M292)</f>
        <v>0</v>
      </c>
      <c r="N293" s="193">
        <f t="shared" ref="N293" si="254">SUM(N281:N292)</f>
        <v>0</v>
      </c>
      <c r="O293" s="193">
        <f t="shared" ref="O293" si="255">SUM(O281:O292)</f>
        <v>1</v>
      </c>
      <c r="P293" s="193">
        <f t="shared" ref="P293" si="256">SUM(P281:P292)</f>
        <v>0</v>
      </c>
      <c r="Q293" s="194">
        <f t="shared" ref="Q293" si="257">SUM(Q281:Q292)</f>
        <v>0</v>
      </c>
    </row>
    <row r="294" spans="2:17" x14ac:dyDescent="0.25">
      <c r="B294" s="380">
        <v>23</v>
      </c>
      <c r="C294" s="381" t="s">
        <v>27</v>
      </c>
      <c r="D294" s="189" t="s">
        <v>56</v>
      </c>
      <c r="E294" s="191">
        <v>997</v>
      </c>
      <c r="F294" s="191">
        <v>3</v>
      </c>
      <c r="G294" s="191">
        <v>3</v>
      </c>
      <c r="H294" s="191">
        <v>1</v>
      </c>
      <c r="I294" s="242"/>
      <c r="J294" s="6"/>
      <c r="K294" s="191">
        <v>1</v>
      </c>
      <c r="L294" s="6"/>
      <c r="M294" s="7"/>
      <c r="N294" s="191">
        <v>2</v>
      </c>
      <c r="O294" s="6"/>
      <c r="P294" s="6"/>
      <c r="Q294" s="190"/>
    </row>
    <row r="295" spans="2:17" x14ac:dyDescent="0.25">
      <c r="B295" s="380"/>
      <c r="C295" s="381"/>
      <c r="D295" s="189" t="s">
        <v>57</v>
      </c>
      <c r="E295" s="7"/>
      <c r="F295" s="6"/>
      <c r="G295" s="6"/>
      <c r="H295" s="6"/>
      <c r="I295" s="242"/>
      <c r="J295" s="6"/>
      <c r="K295" s="6">
        <v>0</v>
      </c>
      <c r="L295" s="6"/>
      <c r="M295" s="6"/>
      <c r="N295" s="6"/>
      <c r="O295" s="6"/>
      <c r="P295" s="6"/>
      <c r="Q295" s="190"/>
    </row>
    <row r="296" spans="2:17" x14ac:dyDescent="0.25">
      <c r="B296" s="380"/>
      <c r="C296" s="381"/>
      <c r="D296" s="189" t="s">
        <v>58</v>
      </c>
      <c r="E296" s="191">
        <f>3+66</f>
        <v>69</v>
      </c>
      <c r="F296" s="191">
        <v>1</v>
      </c>
      <c r="G296" s="6"/>
      <c r="H296" s="6"/>
      <c r="I296" s="242"/>
      <c r="J296" s="6"/>
      <c r="K296" s="6"/>
      <c r="L296" s="6"/>
      <c r="M296" s="6"/>
      <c r="N296" s="6"/>
      <c r="O296" s="6"/>
      <c r="P296" s="6"/>
      <c r="Q296" s="190"/>
    </row>
    <row r="297" spans="2:17" x14ac:dyDescent="0.25">
      <c r="B297" s="380"/>
      <c r="C297" s="381"/>
      <c r="D297" s="189" t="s">
        <v>59</v>
      </c>
      <c r="E297" s="7"/>
      <c r="F297" s="6"/>
      <c r="G297" s="6"/>
      <c r="H297" s="6"/>
      <c r="I297" s="242"/>
      <c r="J297" s="6"/>
      <c r="K297" s="6"/>
      <c r="L297" s="6"/>
      <c r="M297" s="6"/>
      <c r="N297" s="6"/>
      <c r="O297" s="6"/>
      <c r="P297" s="6"/>
      <c r="Q297" s="190"/>
    </row>
    <row r="298" spans="2:17" x14ac:dyDescent="0.25">
      <c r="B298" s="380"/>
      <c r="C298" s="381"/>
      <c r="D298" s="189" t="s">
        <v>60</v>
      </c>
      <c r="E298" s="6"/>
      <c r="F298" s="6"/>
      <c r="G298" s="6"/>
      <c r="H298" s="6"/>
      <c r="I298" s="242"/>
      <c r="J298" s="6"/>
      <c r="K298" s="6"/>
      <c r="L298" s="6"/>
      <c r="M298" s="6"/>
      <c r="N298" s="6"/>
      <c r="O298" s="6"/>
      <c r="P298" s="6"/>
      <c r="Q298" s="190"/>
    </row>
    <row r="299" spans="2:17" x14ac:dyDescent="0.25">
      <c r="B299" s="380"/>
      <c r="C299" s="381"/>
      <c r="D299" s="189" t="s">
        <v>61</v>
      </c>
      <c r="E299" s="6"/>
      <c r="F299" s="6"/>
      <c r="G299" s="6"/>
      <c r="H299" s="6"/>
      <c r="I299" s="242"/>
      <c r="J299" s="6"/>
      <c r="K299" s="6"/>
      <c r="L299" s="6"/>
      <c r="M299" s="6"/>
      <c r="N299" s="6"/>
      <c r="O299" s="6"/>
      <c r="P299" s="6"/>
      <c r="Q299" s="190"/>
    </row>
    <row r="300" spans="2:17" x14ac:dyDescent="0.25">
      <c r="B300" s="380"/>
      <c r="C300" s="381"/>
      <c r="D300" s="189" t="s">
        <v>62</v>
      </c>
      <c r="E300" s="191">
        <f>1+1+5+2+1+1</f>
        <v>11</v>
      </c>
      <c r="F300" s="6"/>
      <c r="G300" s="6"/>
      <c r="H300" s="6"/>
      <c r="I300" s="242"/>
      <c r="J300" s="6"/>
      <c r="K300" s="6"/>
      <c r="L300" s="6"/>
      <c r="M300" s="6"/>
      <c r="N300" s="6"/>
      <c r="O300" s="191">
        <f>1+1</f>
        <v>2</v>
      </c>
      <c r="P300" s="6"/>
      <c r="Q300" s="190"/>
    </row>
    <row r="301" spans="2:17" x14ac:dyDescent="0.25">
      <c r="B301" s="380"/>
      <c r="C301" s="381"/>
      <c r="D301" s="189" t="s">
        <v>63</v>
      </c>
      <c r="E301" s="191">
        <f>14+1+2+4+2+10+1+2</f>
        <v>36</v>
      </c>
      <c r="F301" s="191">
        <v>2</v>
      </c>
      <c r="G301" s="6"/>
      <c r="H301" s="6"/>
      <c r="I301" s="244">
        <v>1</v>
      </c>
      <c r="J301" s="191">
        <f>2+1</f>
        <v>3</v>
      </c>
      <c r="K301" s="6"/>
      <c r="L301" s="6"/>
      <c r="M301" s="6"/>
      <c r="N301" s="6"/>
      <c r="O301" s="191">
        <v>3</v>
      </c>
      <c r="P301" s="6"/>
      <c r="Q301" s="190"/>
    </row>
    <row r="302" spans="2:17" x14ac:dyDescent="0.25">
      <c r="B302" s="380"/>
      <c r="C302" s="381"/>
      <c r="D302" s="189" t="s">
        <v>64</v>
      </c>
      <c r="E302" s="6"/>
      <c r="F302" s="6"/>
      <c r="G302" s="6"/>
      <c r="H302" s="6"/>
      <c r="I302" s="242"/>
      <c r="J302" s="6"/>
      <c r="K302" s="7"/>
      <c r="L302" s="7"/>
      <c r="M302" s="6"/>
      <c r="N302" s="6"/>
      <c r="O302" s="6"/>
      <c r="P302" s="6"/>
      <c r="Q302" s="190"/>
    </row>
    <row r="303" spans="2:17" x14ac:dyDescent="0.25">
      <c r="B303" s="380"/>
      <c r="C303" s="381"/>
      <c r="D303" s="189" t="s">
        <v>65</v>
      </c>
      <c r="E303" s="7"/>
      <c r="F303" s="6"/>
      <c r="G303" s="6"/>
      <c r="H303" s="6"/>
      <c r="I303" s="242"/>
      <c r="J303" s="6"/>
      <c r="K303" s="6"/>
      <c r="L303" s="6"/>
      <c r="M303" s="6"/>
      <c r="N303" s="6"/>
      <c r="O303" s="6"/>
      <c r="P303" s="6"/>
      <c r="Q303" s="190"/>
    </row>
    <row r="304" spans="2:17" x14ac:dyDescent="0.25">
      <c r="B304" s="380"/>
      <c r="C304" s="381"/>
      <c r="D304" s="189" t="s">
        <v>66</v>
      </c>
      <c r="E304" s="7"/>
      <c r="F304" s="6"/>
      <c r="G304" s="6"/>
      <c r="H304" s="6"/>
      <c r="I304" s="242"/>
      <c r="J304" s="6"/>
      <c r="K304" s="6"/>
      <c r="L304" s="6"/>
      <c r="M304" s="6"/>
      <c r="N304" s="6"/>
      <c r="O304" s="6"/>
      <c r="P304" s="6"/>
      <c r="Q304" s="190"/>
    </row>
    <row r="305" spans="2:17" x14ac:dyDescent="0.25">
      <c r="B305" s="380"/>
      <c r="C305" s="381"/>
      <c r="D305" s="189" t="s">
        <v>67</v>
      </c>
      <c r="E305" s="7"/>
      <c r="F305" s="6"/>
      <c r="G305" s="6"/>
      <c r="H305" s="6"/>
      <c r="I305" s="242"/>
      <c r="J305" s="6"/>
      <c r="K305" s="6"/>
      <c r="L305" s="6"/>
      <c r="M305" s="6"/>
      <c r="N305" s="6"/>
      <c r="O305" s="6"/>
      <c r="P305" s="6"/>
      <c r="Q305" s="190"/>
    </row>
    <row r="306" spans="2:17" x14ac:dyDescent="0.25">
      <c r="B306" s="377" t="s">
        <v>15</v>
      </c>
      <c r="C306" s="378"/>
      <c r="D306" s="379"/>
      <c r="E306" s="193">
        <f>SUM(E294:E305)</f>
        <v>1113</v>
      </c>
      <c r="F306" s="193">
        <f t="shared" ref="F306" si="258">SUM(F294:F305)</f>
        <v>6</v>
      </c>
      <c r="G306" s="193">
        <f t="shared" ref="G306" si="259">SUM(G294:G305)</f>
        <v>3</v>
      </c>
      <c r="H306" s="193">
        <f t="shared" ref="H306" si="260">SUM(H294:H305)</f>
        <v>1</v>
      </c>
      <c r="I306" s="243">
        <f>SUM(I294:I305)</f>
        <v>1</v>
      </c>
      <c r="J306" s="193">
        <f t="shared" ref="J306:Q306" si="261">SUM(J294:J305)</f>
        <v>3</v>
      </c>
      <c r="K306" s="193">
        <f t="shared" si="261"/>
        <v>1</v>
      </c>
      <c r="L306" s="193">
        <f t="shared" si="261"/>
        <v>0</v>
      </c>
      <c r="M306" s="193">
        <f t="shared" si="261"/>
        <v>0</v>
      </c>
      <c r="N306" s="193">
        <f t="shared" si="261"/>
        <v>2</v>
      </c>
      <c r="O306" s="193">
        <f t="shared" si="261"/>
        <v>5</v>
      </c>
      <c r="P306" s="193">
        <f t="shared" si="261"/>
        <v>0</v>
      </c>
      <c r="Q306" s="194">
        <f t="shared" si="261"/>
        <v>0</v>
      </c>
    </row>
    <row r="307" spans="2:17" x14ac:dyDescent="0.25">
      <c r="B307" s="380">
        <v>24</v>
      </c>
      <c r="C307" s="381" t="s">
        <v>37</v>
      </c>
      <c r="D307" s="189" t="s">
        <v>56</v>
      </c>
      <c r="E307" s="191">
        <f>4+1+1</f>
        <v>6</v>
      </c>
      <c r="F307" s="6"/>
      <c r="G307" s="6"/>
      <c r="H307" s="6"/>
      <c r="I307" s="242"/>
      <c r="J307" s="6"/>
      <c r="K307" s="7"/>
      <c r="L307" s="7"/>
      <c r="M307" s="7"/>
      <c r="N307" s="6"/>
      <c r="O307" s="6"/>
      <c r="P307" s="6"/>
      <c r="Q307" s="190"/>
    </row>
    <row r="308" spans="2:17" x14ac:dyDescent="0.25">
      <c r="B308" s="380"/>
      <c r="C308" s="381"/>
      <c r="D308" s="189" t="s">
        <v>57</v>
      </c>
      <c r="E308" s="7"/>
      <c r="F308" s="6"/>
      <c r="G308" s="6"/>
      <c r="H308" s="6"/>
      <c r="I308" s="242"/>
      <c r="J308" s="6"/>
      <c r="K308" s="6">
        <v>0</v>
      </c>
      <c r="L308" s="6"/>
      <c r="M308" s="7"/>
      <c r="N308" s="6"/>
      <c r="O308" s="6"/>
      <c r="P308" s="6"/>
      <c r="Q308" s="190"/>
    </row>
    <row r="309" spans="2:17" x14ac:dyDescent="0.25">
      <c r="B309" s="380"/>
      <c r="C309" s="381"/>
      <c r="D309" s="189" t="s">
        <v>58</v>
      </c>
      <c r="E309" s="6"/>
      <c r="F309" s="6"/>
      <c r="G309" s="6"/>
      <c r="H309" s="6"/>
      <c r="I309" s="242"/>
      <c r="J309" s="191">
        <v>56</v>
      </c>
      <c r="K309" s="6"/>
      <c r="L309" s="6"/>
      <c r="M309" s="191">
        <v>100</v>
      </c>
      <c r="N309" s="6"/>
      <c r="O309" s="6"/>
      <c r="P309" s="6"/>
      <c r="Q309" s="190"/>
    </row>
    <row r="310" spans="2:17" x14ac:dyDescent="0.25">
      <c r="B310" s="380"/>
      <c r="C310" s="381"/>
      <c r="D310" s="189" t="s">
        <v>59</v>
      </c>
      <c r="E310" s="7"/>
      <c r="F310" s="6"/>
      <c r="G310" s="6"/>
      <c r="H310" s="6"/>
      <c r="I310" s="242"/>
      <c r="J310" s="6"/>
      <c r="K310" s="6"/>
      <c r="L310" s="6"/>
      <c r="M310" s="6"/>
      <c r="N310" s="6"/>
      <c r="O310" s="6"/>
      <c r="P310" s="6"/>
      <c r="Q310" s="190"/>
    </row>
    <row r="311" spans="2:17" x14ac:dyDescent="0.25">
      <c r="B311" s="380"/>
      <c r="C311" s="381"/>
      <c r="D311" s="189" t="s">
        <v>60</v>
      </c>
      <c r="E311" s="6"/>
      <c r="F311" s="6"/>
      <c r="G311" s="6"/>
      <c r="H311" s="6"/>
      <c r="I311" s="242"/>
      <c r="J311" s="6"/>
      <c r="K311" s="6"/>
      <c r="L311" s="6"/>
      <c r="M311" s="6"/>
      <c r="N311" s="6"/>
      <c r="O311" s="6"/>
      <c r="P311" s="6"/>
      <c r="Q311" s="190"/>
    </row>
    <row r="312" spans="2:17" x14ac:dyDescent="0.25">
      <c r="B312" s="380"/>
      <c r="C312" s="381"/>
      <c r="D312" s="189" t="s">
        <v>61</v>
      </c>
      <c r="E312" s="6"/>
      <c r="F312" s="6"/>
      <c r="G312" s="6"/>
      <c r="H312" s="6"/>
      <c r="I312" s="242"/>
      <c r="J312" s="6"/>
      <c r="K312" s="6"/>
      <c r="L312" s="6"/>
      <c r="M312" s="6"/>
      <c r="N312" s="6"/>
      <c r="O312" s="6"/>
      <c r="P312" s="6"/>
      <c r="Q312" s="190"/>
    </row>
    <row r="313" spans="2:17" x14ac:dyDescent="0.25">
      <c r="B313" s="380"/>
      <c r="C313" s="381"/>
      <c r="D313" s="189" t="s">
        <v>62</v>
      </c>
      <c r="E313" s="202">
        <f>2+1+1+1+2+1+1</f>
        <v>9</v>
      </c>
      <c r="F313" s="6"/>
      <c r="G313" s="6"/>
      <c r="H313" s="6"/>
      <c r="I313" s="242"/>
      <c r="J313" s="198"/>
      <c r="K313" s="198"/>
      <c r="L313" s="198"/>
      <c r="M313" s="198"/>
      <c r="N313" s="198"/>
      <c r="O313" s="202">
        <v>1</v>
      </c>
      <c r="P313" s="202">
        <v>1</v>
      </c>
      <c r="Q313" s="199"/>
    </row>
    <row r="314" spans="2:17" x14ac:dyDescent="0.25">
      <c r="B314" s="380"/>
      <c r="C314" s="381"/>
      <c r="D314" s="189" t="s">
        <v>63</v>
      </c>
      <c r="E314" s="7"/>
      <c r="F314" s="6"/>
      <c r="G314" s="6"/>
      <c r="H314" s="6"/>
      <c r="I314" s="242"/>
      <c r="J314" s="6"/>
      <c r="K314" s="6"/>
      <c r="L314" s="6"/>
      <c r="M314" s="6"/>
      <c r="N314" s="6"/>
      <c r="O314" s="6"/>
      <c r="P314" s="6"/>
      <c r="Q314" s="190"/>
    </row>
    <row r="315" spans="2:17" x14ac:dyDescent="0.25">
      <c r="B315" s="380"/>
      <c r="C315" s="381"/>
      <c r="D315" s="189" t="s">
        <v>64</v>
      </c>
      <c r="E315" s="7"/>
      <c r="F315" s="6"/>
      <c r="G315" s="6"/>
      <c r="H315" s="6"/>
      <c r="I315" s="242"/>
      <c r="J315" s="7"/>
      <c r="K315" s="7"/>
      <c r="L315" s="7"/>
      <c r="M315" s="7"/>
      <c r="N315" s="6"/>
      <c r="O315" s="6"/>
      <c r="P315" s="6"/>
      <c r="Q315" s="190"/>
    </row>
    <row r="316" spans="2:17" x14ac:dyDescent="0.25">
      <c r="B316" s="380"/>
      <c r="C316" s="381"/>
      <c r="D316" s="189" t="s">
        <v>65</v>
      </c>
      <c r="E316" s="6"/>
      <c r="F316" s="6"/>
      <c r="G316" s="6"/>
      <c r="H316" s="6"/>
      <c r="I316" s="242"/>
      <c r="J316" s="6"/>
      <c r="K316" s="6"/>
      <c r="L316" s="6"/>
      <c r="M316" s="6"/>
      <c r="N316" s="6"/>
      <c r="O316" s="6"/>
      <c r="P316" s="6"/>
      <c r="Q316" s="190"/>
    </row>
    <row r="317" spans="2:17" x14ac:dyDescent="0.25">
      <c r="B317" s="380"/>
      <c r="C317" s="381"/>
      <c r="D317" s="189" t="s">
        <v>66</v>
      </c>
      <c r="E317" s="6"/>
      <c r="F317" s="6"/>
      <c r="G317" s="6"/>
      <c r="H317" s="6"/>
      <c r="I317" s="242"/>
      <c r="J317" s="6"/>
      <c r="K317" s="6"/>
      <c r="L317" s="6"/>
      <c r="M317" s="6"/>
      <c r="N317" s="6"/>
      <c r="O317" s="6"/>
      <c r="P317" s="6"/>
      <c r="Q317" s="190"/>
    </row>
    <row r="318" spans="2:17" x14ac:dyDescent="0.25">
      <c r="B318" s="380"/>
      <c r="C318" s="381"/>
      <c r="D318" s="189" t="s">
        <v>67</v>
      </c>
      <c r="E318" s="6"/>
      <c r="F318" s="6"/>
      <c r="G318" s="6"/>
      <c r="H318" s="6"/>
      <c r="I318" s="242"/>
      <c r="J318" s="6"/>
      <c r="K318" s="6"/>
      <c r="L318" s="6"/>
      <c r="M318" s="6"/>
      <c r="N318" s="6"/>
      <c r="O318" s="6"/>
      <c r="P318" s="6"/>
      <c r="Q318" s="190"/>
    </row>
    <row r="319" spans="2:17" ht="15.75" thickBot="1" x14ac:dyDescent="0.3">
      <c r="B319" s="391" t="s">
        <v>15</v>
      </c>
      <c r="C319" s="392"/>
      <c r="D319" s="393"/>
      <c r="E319" s="203">
        <f>SUM(E307:E318)</f>
        <v>15</v>
      </c>
      <c r="F319" s="203">
        <f t="shared" ref="F319" si="262">SUM(F307:F318)</f>
        <v>0</v>
      </c>
      <c r="G319" s="203">
        <f t="shared" ref="G319" si="263">SUM(G307:G318)</f>
        <v>0</v>
      </c>
      <c r="H319" s="203">
        <f t="shared" ref="H319" si="264">SUM(H307:H318)</f>
        <v>0</v>
      </c>
      <c r="I319" s="247">
        <f t="shared" ref="I319" si="265">SUM(I307:I318)</f>
        <v>0</v>
      </c>
      <c r="J319" s="203">
        <f t="shared" ref="J319" si="266">SUM(J307:J318)</f>
        <v>56</v>
      </c>
      <c r="K319" s="203">
        <f t="shared" ref="K319" si="267">SUM(K307:K318)</f>
        <v>0</v>
      </c>
      <c r="L319" s="203">
        <f t="shared" ref="L319" si="268">SUM(L307:L318)</f>
        <v>0</v>
      </c>
      <c r="M319" s="203">
        <f t="shared" ref="M319" si="269">SUM(M307:M318)</f>
        <v>100</v>
      </c>
      <c r="N319" s="203">
        <f t="shared" ref="N319" si="270">SUM(N307:N318)</f>
        <v>0</v>
      </c>
      <c r="O319" s="203">
        <f t="shared" ref="O319" si="271">SUM(O307:O318)</f>
        <v>1</v>
      </c>
      <c r="P319" s="203">
        <f t="shared" ref="P319" si="272">SUM(P307:P318)</f>
        <v>1</v>
      </c>
      <c r="Q319" s="204">
        <f t="shared" ref="Q319" si="273">SUM(Q307:Q318)</f>
        <v>0</v>
      </c>
    </row>
    <row r="320" spans="2:17" ht="16.5" thickTop="1" thickBot="1" x14ac:dyDescent="0.3">
      <c r="B320" s="396" t="s">
        <v>188</v>
      </c>
      <c r="C320" s="397"/>
      <c r="D320" s="398"/>
      <c r="E320" s="185">
        <f>E20+E33+E46+E59+E72+E85+E98+E111+E124+E137+E150+E163+E176+E189+E202+E215+E228+E241+E254+E267+E280+E293+E306+E319</f>
        <v>14787</v>
      </c>
      <c r="F320" s="185">
        <f t="shared" ref="F320:H320" si="274">F20+F33+F46+F59+F72+F85+F98+F111+F124+F137+F150+F163+F176+F189+F202+F215+F228+F241+F254+F267+F280+F293+F306+F319</f>
        <v>84</v>
      </c>
      <c r="G320" s="185">
        <f t="shared" si="274"/>
        <v>60</v>
      </c>
      <c r="H320" s="185">
        <f t="shared" si="274"/>
        <v>22</v>
      </c>
      <c r="I320" s="183">
        <f>I20+I33+I46+I59+I72+I85+I98+I111+I124+I137+I150+I163+I176+I189+I202+I215+I228+I241+I254+I267+I280+I293+I306+I319</f>
        <v>13</v>
      </c>
      <c r="J320" s="183">
        <f t="shared" ref="J320:Q320" si="275">J20+J33+J46+J59+J72+J85+J98+J111+J124+J137+J150+J163+J176+J189+J202+J215+J228+J241+J254+J267+J280+J293+J306+J319</f>
        <v>6306.5</v>
      </c>
      <c r="K320" s="183">
        <f t="shared" si="275"/>
        <v>28146.98</v>
      </c>
      <c r="L320" s="183">
        <f t="shared" si="275"/>
        <v>1001</v>
      </c>
      <c r="M320" s="183">
        <f t="shared" si="275"/>
        <v>16300</v>
      </c>
      <c r="N320" s="183">
        <f t="shared" si="275"/>
        <v>11</v>
      </c>
      <c r="O320" s="183">
        <f t="shared" si="275"/>
        <v>36</v>
      </c>
      <c r="P320" s="183">
        <f t="shared" si="275"/>
        <v>5</v>
      </c>
      <c r="Q320" s="184">
        <f t="shared" si="275"/>
        <v>0</v>
      </c>
    </row>
  </sheetData>
  <mergeCells count="87">
    <mergeCell ref="M4:M5"/>
    <mergeCell ref="N4:N5"/>
    <mergeCell ref="O4:O5"/>
    <mergeCell ref="P4:P5"/>
    <mergeCell ref="Q4:Q5"/>
    <mergeCell ref="B320:D320"/>
    <mergeCell ref="B1:I1"/>
    <mergeCell ref="B2:I2"/>
    <mergeCell ref="J4:J5"/>
    <mergeCell ref="K4:K5"/>
    <mergeCell ref="C242:C253"/>
    <mergeCell ref="B255:B266"/>
    <mergeCell ref="C255:C266"/>
    <mergeCell ref="B268:B279"/>
    <mergeCell ref="C268:C279"/>
    <mergeCell ref="B241:D241"/>
    <mergeCell ref="B254:D254"/>
    <mergeCell ref="B267:D267"/>
    <mergeCell ref="C177:C188"/>
    <mergeCell ref="B190:B201"/>
    <mergeCell ref="C190:C201"/>
    <mergeCell ref="L4:L5"/>
    <mergeCell ref="B319:D319"/>
    <mergeCell ref="B293:D293"/>
    <mergeCell ref="B306:D306"/>
    <mergeCell ref="C281:C292"/>
    <mergeCell ref="B294:B305"/>
    <mergeCell ref="C294:C305"/>
    <mergeCell ref="B307:B318"/>
    <mergeCell ref="C307:C318"/>
    <mergeCell ref="E4:I4"/>
    <mergeCell ref="B20:D20"/>
    <mergeCell ref="B33:D33"/>
    <mergeCell ref="B46:D46"/>
    <mergeCell ref="B59:D59"/>
    <mergeCell ref="C229:C240"/>
    <mergeCell ref="B242:B253"/>
    <mergeCell ref="C125:C136"/>
    <mergeCell ref="B138:B149"/>
    <mergeCell ref="C138:C149"/>
    <mergeCell ref="B151:B162"/>
    <mergeCell ref="C151:C162"/>
    <mergeCell ref="B164:B175"/>
    <mergeCell ref="C164:C175"/>
    <mergeCell ref="B137:D137"/>
    <mergeCell ref="B150:D150"/>
    <mergeCell ref="B163:D163"/>
    <mergeCell ref="B47:B58"/>
    <mergeCell ref="C47:C58"/>
    <mergeCell ref="B112:B123"/>
    <mergeCell ref="C112:C123"/>
    <mergeCell ref="B85:D85"/>
    <mergeCell ref="B98:D98"/>
    <mergeCell ref="B111:D111"/>
    <mergeCell ref="C73:C84"/>
    <mergeCell ref="B86:B97"/>
    <mergeCell ref="C86:C97"/>
    <mergeCell ref="B99:B110"/>
    <mergeCell ref="C99:C110"/>
    <mergeCell ref="B281:B292"/>
    <mergeCell ref="B280:D280"/>
    <mergeCell ref="B229:B240"/>
    <mergeCell ref="B228:D228"/>
    <mergeCell ref="B177:B188"/>
    <mergeCell ref="B203:B214"/>
    <mergeCell ref="C203:C214"/>
    <mergeCell ref="B216:B227"/>
    <mergeCell ref="C216:C227"/>
    <mergeCell ref="B189:D189"/>
    <mergeCell ref="B202:D202"/>
    <mergeCell ref="B215:D215"/>
    <mergeCell ref="D4:D6"/>
    <mergeCell ref="B176:D176"/>
    <mergeCell ref="B125:B136"/>
    <mergeCell ref="B124:D124"/>
    <mergeCell ref="B73:B84"/>
    <mergeCell ref="B72:D72"/>
    <mergeCell ref="B60:B71"/>
    <mergeCell ref="C60:C71"/>
    <mergeCell ref="B4:B6"/>
    <mergeCell ref="C4:C6"/>
    <mergeCell ref="B8:B19"/>
    <mergeCell ref="C8:C19"/>
    <mergeCell ref="B21:B32"/>
    <mergeCell ref="C21:C32"/>
    <mergeCell ref="B34:B45"/>
    <mergeCell ref="C34:C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2E36-7BFA-4FA8-B96C-5410F72A5325}">
  <dimension ref="A1:X31"/>
  <sheetViews>
    <sheetView view="pageBreakPreview" zoomScale="60" zoomScaleNormal="100" workbookViewId="0">
      <selection activeCell="L21" sqref="L21"/>
    </sheetView>
  </sheetViews>
  <sheetFormatPr defaultRowHeight="15" x14ac:dyDescent="0.25"/>
  <cols>
    <col min="2" max="2" width="25.7109375" customWidth="1"/>
    <col min="3" max="3" width="14.85546875" customWidth="1"/>
    <col min="4" max="4" width="22.5703125" bestFit="1" customWidth="1"/>
    <col min="5" max="5" width="17.7109375" bestFit="1" customWidth="1"/>
    <col min="6" max="6" width="22" bestFit="1" customWidth="1"/>
    <col min="7" max="7" width="18.42578125" bestFit="1" customWidth="1"/>
    <col min="8" max="9" width="16.140625" customWidth="1"/>
    <col min="10" max="10" width="21.85546875" bestFit="1" customWidth="1"/>
    <col min="11" max="15" width="16.140625" customWidth="1"/>
    <col min="16" max="16" width="21.85546875" customWidth="1"/>
  </cols>
  <sheetData>
    <row r="1" spans="1:24" ht="18.75" x14ac:dyDescent="0.3">
      <c r="B1" s="322" t="s">
        <v>108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</row>
    <row r="2" spans="1:24" ht="18.75" x14ac:dyDescent="0.3">
      <c r="B2" s="322" t="s">
        <v>0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4" spans="1:24" ht="39" customHeight="1" x14ac:dyDescent="0.25">
      <c r="B4" s="262" t="s">
        <v>148</v>
      </c>
      <c r="C4" s="401" t="s">
        <v>203</v>
      </c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3"/>
      <c r="P4" s="262" t="s">
        <v>216</v>
      </c>
    </row>
    <row r="5" spans="1:24" ht="22.5" customHeight="1" x14ac:dyDescent="0.25">
      <c r="B5" s="404" t="s">
        <v>218</v>
      </c>
      <c r="C5" s="261" t="s">
        <v>202</v>
      </c>
      <c r="D5" s="261" t="s">
        <v>204</v>
      </c>
      <c r="E5" s="261" t="s">
        <v>205</v>
      </c>
      <c r="F5" s="261" t="s">
        <v>206</v>
      </c>
      <c r="G5" s="261" t="s">
        <v>207</v>
      </c>
      <c r="H5" s="261" t="s">
        <v>208</v>
      </c>
      <c r="I5" s="261" t="s">
        <v>209</v>
      </c>
      <c r="J5" s="261" t="s">
        <v>210</v>
      </c>
      <c r="K5" s="261" t="s">
        <v>211</v>
      </c>
      <c r="L5" s="261" t="s">
        <v>212</v>
      </c>
      <c r="M5" s="261" t="s">
        <v>213</v>
      </c>
      <c r="N5" s="261" t="s">
        <v>214</v>
      </c>
      <c r="O5" s="261" t="s">
        <v>215</v>
      </c>
      <c r="P5" s="404" t="s">
        <v>217</v>
      </c>
    </row>
    <row r="6" spans="1:24" ht="22.5" customHeight="1" x14ac:dyDescent="0.25">
      <c r="B6" s="405"/>
      <c r="C6" s="261" t="s">
        <v>55</v>
      </c>
      <c r="D6" s="261" t="s">
        <v>55</v>
      </c>
      <c r="E6" s="261" t="s">
        <v>55</v>
      </c>
      <c r="F6" s="261" t="s">
        <v>55</v>
      </c>
      <c r="G6" s="261" t="s">
        <v>55</v>
      </c>
      <c r="H6" s="261" t="s">
        <v>145</v>
      </c>
      <c r="I6" s="261" t="s">
        <v>146</v>
      </c>
      <c r="J6" s="261" t="s">
        <v>146</v>
      </c>
      <c r="K6" s="261" t="s">
        <v>146</v>
      </c>
      <c r="L6" s="261" t="s">
        <v>147</v>
      </c>
      <c r="M6" s="261" t="s">
        <v>147</v>
      </c>
      <c r="N6" s="261" t="s">
        <v>147</v>
      </c>
      <c r="O6" s="261" t="s">
        <v>146</v>
      </c>
      <c r="P6" s="405"/>
    </row>
    <row r="7" spans="1:24" ht="37.5" customHeight="1" x14ac:dyDescent="0.25">
      <c r="A7" s="75">
        <v>1</v>
      </c>
      <c r="B7" s="264" t="s">
        <v>85</v>
      </c>
      <c r="C7" s="6">
        <f>Sheet6!E20</f>
        <v>49</v>
      </c>
      <c r="D7" s="6">
        <f>Sheet6!F20</f>
        <v>0</v>
      </c>
      <c r="E7" s="6">
        <f>Sheet6!G20</f>
        <v>0</v>
      </c>
      <c r="F7" s="6">
        <f>Sheet6!H20</f>
        <v>0</v>
      </c>
      <c r="G7" s="6">
        <f>Sheet6!I20</f>
        <v>0</v>
      </c>
      <c r="H7" s="6">
        <f>Sheet6!J20</f>
        <v>0</v>
      </c>
      <c r="I7" s="6">
        <f>Sheet6!K20</f>
        <v>0</v>
      </c>
      <c r="J7" s="6">
        <f>Sheet6!L20</f>
        <v>0</v>
      </c>
      <c r="K7" s="6">
        <f>Sheet6!M20</f>
        <v>0</v>
      </c>
      <c r="L7" s="6">
        <f>Sheet6!N20</f>
        <v>0</v>
      </c>
      <c r="M7" s="6">
        <f>Sheet6!O20</f>
        <v>0</v>
      </c>
      <c r="N7" s="6">
        <f>Sheet6!P20</f>
        <v>2</v>
      </c>
      <c r="O7" s="6">
        <f>Sheet6!Q20</f>
        <v>0</v>
      </c>
      <c r="P7" s="6">
        <f>SUM(C7:O7)</f>
        <v>51</v>
      </c>
    </row>
    <row r="8" spans="1:24" ht="37.5" customHeight="1" x14ac:dyDescent="0.25">
      <c r="A8" s="75">
        <v>2</v>
      </c>
      <c r="B8" s="264" t="s">
        <v>86</v>
      </c>
      <c r="C8" s="6">
        <f>Sheet6!E33</f>
        <v>211</v>
      </c>
      <c r="D8" s="6">
        <f>Sheet6!F33</f>
        <v>1</v>
      </c>
      <c r="E8" s="6">
        <f>Sheet6!G33</f>
        <v>2</v>
      </c>
      <c r="F8" s="6">
        <f>Sheet6!H33</f>
        <v>0</v>
      </c>
      <c r="G8" s="6">
        <f>Sheet6!I33</f>
        <v>0</v>
      </c>
      <c r="H8" s="6">
        <f>Sheet6!J33</f>
        <v>252</v>
      </c>
      <c r="I8" s="6">
        <f>Sheet6!K33</f>
        <v>340</v>
      </c>
      <c r="J8" s="6">
        <f>Sheet6!L33</f>
        <v>900</v>
      </c>
      <c r="K8" s="6">
        <f>Sheet6!M33</f>
        <v>30</v>
      </c>
      <c r="L8" s="6">
        <f>Sheet6!N33</f>
        <v>0</v>
      </c>
      <c r="M8" s="6">
        <f>Sheet6!O33</f>
        <v>0</v>
      </c>
      <c r="N8" s="6">
        <f>Sheet6!P33</f>
        <v>0</v>
      </c>
      <c r="O8" s="6">
        <f>Sheet6!Q33</f>
        <v>0</v>
      </c>
      <c r="P8" s="6">
        <f>SUM(C8:O8)</f>
        <v>1736</v>
      </c>
      <c r="X8" s="75"/>
    </row>
    <row r="9" spans="1:24" ht="37.5" customHeight="1" x14ac:dyDescent="0.25">
      <c r="A9" s="75">
        <v>3</v>
      </c>
      <c r="B9" s="264" t="s">
        <v>87</v>
      </c>
      <c r="C9" s="6">
        <f>Sheet6!E46</f>
        <v>59</v>
      </c>
      <c r="D9" s="6">
        <f>Sheet6!F46</f>
        <v>0</v>
      </c>
      <c r="E9" s="6">
        <f>Sheet6!G46</f>
        <v>1</v>
      </c>
      <c r="F9" s="6">
        <f>Sheet6!H46</f>
        <v>0</v>
      </c>
      <c r="G9" s="6">
        <f>Sheet6!I46</f>
        <v>0</v>
      </c>
      <c r="H9" s="6">
        <f>Sheet6!J46</f>
        <v>0</v>
      </c>
      <c r="I9" s="6">
        <f>Sheet6!K46</f>
        <v>0</v>
      </c>
      <c r="J9" s="6">
        <f>Sheet6!L46</f>
        <v>0</v>
      </c>
      <c r="K9" s="6">
        <f>Sheet6!M46</f>
        <v>0</v>
      </c>
      <c r="L9" s="6">
        <f>Sheet6!N46</f>
        <v>0</v>
      </c>
      <c r="M9" s="6">
        <f>Sheet6!O46</f>
        <v>1</v>
      </c>
      <c r="N9" s="6">
        <f>Sheet6!P46</f>
        <v>0</v>
      </c>
      <c r="O9" s="6">
        <f>Sheet6!Q46</f>
        <v>0</v>
      </c>
      <c r="P9" s="6">
        <f t="shared" ref="P9:P30" si="0">SUM(C9:O9)</f>
        <v>61</v>
      </c>
    </row>
    <row r="10" spans="1:24" ht="37.5" customHeight="1" x14ac:dyDescent="0.25">
      <c r="A10" s="75">
        <v>4</v>
      </c>
      <c r="B10" s="264" t="s">
        <v>88</v>
      </c>
      <c r="C10" s="6">
        <f>Sheet6!E59</f>
        <v>81</v>
      </c>
      <c r="D10" s="6">
        <f>Sheet6!F59</f>
        <v>0</v>
      </c>
      <c r="E10" s="6">
        <f>Sheet6!G59</f>
        <v>0</v>
      </c>
      <c r="F10" s="6">
        <f>Sheet6!H59</f>
        <v>0</v>
      </c>
      <c r="G10" s="6">
        <f>Sheet6!I59</f>
        <v>0</v>
      </c>
      <c r="H10" s="6">
        <f>Sheet6!J59</f>
        <v>0</v>
      </c>
      <c r="I10" s="6">
        <f>Sheet6!K59</f>
        <v>0</v>
      </c>
      <c r="J10" s="6">
        <f>Sheet6!L59</f>
        <v>0</v>
      </c>
      <c r="K10" s="6">
        <f>Sheet6!M59</f>
        <v>0</v>
      </c>
      <c r="L10" s="6">
        <f>Sheet6!N59</f>
        <v>0</v>
      </c>
      <c r="M10" s="6">
        <f>Sheet6!O59</f>
        <v>0</v>
      </c>
      <c r="N10" s="6">
        <f>Sheet6!P59</f>
        <v>0</v>
      </c>
      <c r="O10" s="6">
        <f>Sheet6!Q59</f>
        <v>0</v>
      </c>
      <c r="P10" s="6">
        <f t="shared" si="0"/>
        <v>81</v>
      </c>
    </row>
    <row r="11" spans="1:24" ht="37.5" customHeight="1" x14ac:dyDescent="0.25">
      <c r="A11" s="75">
        <v>5</v>
      </c>
      <c r="B11" s="264" t="s">
        <v>89</v>
      </c>
      <c r="C11" s="6">
        <f>Sheet6!E72</f>
        <v>171</v>
      </c>
      <c r="D11" s="6">
        <f>Sheet6!F72</f>
        <v>0</v>
      </c>
      <c r="E11" s="6">
        <f>Sheet6!G72</f>
        <v>0</v>
      </c>
      <c r="F11" s="6">
        <f>Sheet6!H72</f>
        <v>0</v>
      </c>
      <c r="G11" s="6">
        <f>Sheet6!I72</f>
        <v>0</v>
      </c>
      <c r="H11" s="6">
        <f>Sheet6!J72</f>
        <v>0</v>
      </c>
      <c r="I11" s="6">
        <f>Sheet6!K72</f>
        <v>0</v>
      </c>
      <c r="J11" s="6">
        <f>Sheet6!L72</f>
        <v>0</v>
      </c>
      <c r="K11" s="6">
        <f>Sheet6!M72</f>
        <v>0</v>
      </c>
      <c r="L11" s="6">
        <f>Sheet6!N72</f>
        <v>0</v>
      </c>
      <c r="M11" s="6">
        <f>Sheet6!O72</f>
        <v>0</v>
      </c>
      <c r="N11" s="6">
        <f>Sheet6!P72</f>
        <v>1</v>
      </c>
      <c r="O11" s="6">
        <f>Sheet6!Q72</f>
        <v>0</v>
      </c>
      <c r="P11" s="6">
        <f t="shared" si="0"/>
        <v>172</v>
      </c>
    </row>
    <row r="12" spans="1:24" ht="37.5" customHeight="1" x14ac:dyDescent="0.25">
      <c r="A12" s="75">
        <v>6</v>
      </c>
      <c r="B12" s="264" t="s">
        <v>189</v>
      </c>
      <c r="C12" s="6">
        <f>Sheet6!E85</f>
        <v>156</v>
      </c>
      <c r="D12" s="6">
        <f>Sheet6!F85</f>
        <v>0</v>
      </c>
      <c r="E12" s="6">
        <f>Sheet6!G85</f>
        <v>0</v>
      </c>
      <c r="F12" s="6">
        <f>Sheet6!H85</f>
        <v>0</v>
      </c>
      <c r="G12" s="6">
        <f>Sheet6!I85</f>
        <v>0</v>
      </c>
      <c r="H12" s="6">
        <f>Sheet6!J85</f>
        <v>0</v>
      </c>
      <c r="I12" s="6">
        <f>Sheet6!K85</f>
        <v>1</v>
      </c>
      <c r="J12" s="6">
        <f>Sheet6!L85</f>
        <v>0</v>
      </c>
      <c r="K12" s="6">
        <f>Sheet6!M85</f>
        <v>0</v>
      </c>
      <c r="L12" s="6">
        <f>Sheet6!N85</f>
        <v>0</v>
      </c>
      <c r="M12" s="6">
        <f>Sheet6!O85</f>
        <v>0</v>
      </c>
      <c r="N12" s="6">
        <f>Sheet6!P85</f>
        <v>0</v>
      </c>
      <c r="O12" s="6">
        <f>Sheet6!Q85</f>
        <v>0</v>
      </c>
      <c r="P12" s="6">
        <f t="shared" si="0"/>
        <v>157</v>
      </c>
    </row>
    <row r="13" spans="1:24" ht="37.5" customHeight="1" x14ac:dyDescent="0.25">
      <c r="A13" s="75">
        <v>7</v>
      </c>
      <c r="B13" s="264" t="s">
        <v>90</v>
      </c>
      <c r="C13" s="6">
        <f>Sheet6!E98</f>
        <v>682</v>
      </c>
      <c r="D13" s="6">
        <f>Sheet6!F98</f>
        <v>2</v>
      </c>
      <c r="E13" s="6">
        <f>Sheet6!G98</f>
        <v>0</v>
      </c>
      <c r="F13" s="6">
        <f>Sheet6!H98</f>
        <v>0</v>
      </c>
      <c r="G13" s="6">
        <f>Sheet6!I98</f>
        <v>1</v>
      </c>
      <c r="H13" s="6">
        <f>Sheet6!J98</f>
        <v>182</v>
      </c>
      <c r="I13" s="6">
        <f>Sheet6!K98</f>
        <v>23</v>
      </c>
      <c r="J13" s="6">
        <f>Sheet6!L98</f>
        <v>1</v>
      </c>
      <c r="K13" s="6">
        <f>Sheet6!M98</f>
        <v>2</v>
      </c>
      <c r="L13" s="6">
        <f>Sheet6!N98</f>
        <v>0</v>
      </c>
      <c r="M13" s="6">
        <f>Sheet6!O98</f>
        <v>0</v>
      </c>
      <c r="N13" s="6">
        <f>Sheet6!P98</f>
        <v>0</v>
      </c>
      <c r="O13" s="6">
        <f>Sheet6!Q98</f>
        <v>0</v>
      </c>
      <c r="P13" s="6">
        <f t="shared" si="0"/>
        <v>893</v>
      </c>
    </row>
    <row r="14" spans="1:24" ht="37.5" customHeight="1" x14ac:dyDescent="0.25">
      <c r="A14" s="75">
        <v>8</v>
      </c>
      <c r="B14" s="264" t="s">
        <v>91</v>
      </c>
      <c r="C14" s="6">
        <f>Sheet6!E111</f>
        <v>45</v>
      </c>
      <c r="D14" s="6">
        <f>Sheet6!F111</f>
        <v>1</v>
      </c>
      <c r="E14" s="6">
        <f>Sheet6!G111</f>
        <v>0</v>
      </c>
      <c r="F14" s="6">
        <f>Sheet6!H111</f>
        <v>0</v>
      </c>
      <c r="G14" s="6">
        <f>Sheet6!I111</f>
        <v>0</v>
      </c>
      <c r="H14" s="6">
        <f>Sheet6!J111</f>
        <v>0</v>
      </c>
      <c r="I14" s="6">
        <f>Sheet6!K111</f>
        <v>4820</v>
      </c>
      <c r="J14" s="6">
        <f>Sheet6!L111</f>
        <v>0</v>
      </c>
      <c r="K14" s="6">
        <f>Sheet6!M111</f>
        <v>0</v>
      </c>
      <c r="L14" s="6">
        <f>Sheet6!N111</f>
        <v>0</v>
      </c>
      <c r="M14" s="6">
        <f>Sheet6!O111</f>
        <v>1</v>
      </c>
      <c r="N14" s="6">
        <f>Sheet6!P111</f>
        <v>0</v>
      </c>
      <c r="O14" s="6">
        <f>Sheet6!Q111</f>
        <v>0</v>
      </c>
      <c r="P14" s="6">
        <f t="shared" si="0"/>
        <v>4867</v>
      </c>
    </row>
    <row r="15" spans="1:24" ht="37.5" customHeight="1" x14ac:dyDescent="0.25">
      <c r="A15" s="75">
        <v>9</v>
      </c>
      <c r="B15" s="264" t="s">
        <v>92</v>
      </c>
      <c r="C15" s="6">
        <f>Sheet6!E124</f>
        <v>218</v>
      </c>
      <c r="D15" s="6">
        <f>Sheet6!F124</f>
        <v>1</v>
      </c>
      <c r="E15" s="6">
        <f>Sheet6!G124</f>
        <v>1</v>
      </c>
      <c r="F15" s="6">
        <f>Sheet6!H124</f>
        <v>0</v>
      </c>
      <c r="G15" s="6">
        <f>Sheet6!I124</f>
        <v>0</v>
      </c>
      <c r="H15" s="6">
        <f>Sheet6!J124</f>
        <v>0</v>
      </c>
      <c r="I15" s="6">
        <f>Sheet6!K124</f>
        <v>0</v>
      </c>
      <c r="J15" s="6">
        <f>Sheet6!L124</f>
        <v>0</v>
      </c>
      <c r="K15" s="6">
        <f>Sheet6!M124</f>
        <v>0</v>
      </c>
      <c r="L15" s="6">
        <f>Sheet6!N124</f>
        <v>0</v>
      </c>
      <c r="M15" s="6">
        <f>Sheet6!O124</f>
        <v>0</v>
      </c>
      <c r="N15" s="6">
        <f>Sheet6!P124</f>
        <v>0</v>
      </c>
      <c r="O15" s="6">
        <f>Sheet6!Q124</f>
        <v>0</v>
      </c>
      <c r="P15" s="6">
        <f t="shared" si="0"/>
        <v>220</v>
      </c>
    </row>
    <row r="16" spans="1:24" ht="37.5" customHeight="1" x14ac:dyDescent="0.25">
      <c r="A16" s="75">
        <v>10</v>
      </c>
      <c r="B16" s="264" t="s">
        <v>94</v>
      </c>
      <c r="C16" s="6">
        <f>Sheet6!E137</f>
        <v>535</v>
      </c>
      <c r="D16" s="6">
        <f>Sheet6!F137</f>
        <v>12</v>
      </c>
      <c r="E16" s="6">
        <f>Sheet6!G137</f>
        <v>3</v>
      </c>
      <c r="F16" s="6">
        <f>Sheet6!H137</f>
        <v>3</v>
      </c>
      <c r="G16" s="6">
        <f>Sheet6!I137</f>
        <v>2</v>
      </c>
      <c r="H16" s="6">
        <f>Sheet6!J137</f>
        <v>1</v>
      </c>
      <c r="I16" s="6">
        <f>Sheet6!K137</f>
        <v>0</v>
      </c>
      <c r="J16" s="6">
        <f>Sheet6!L137</f>
        <v>0</v>
      </c>
      <c r="K16" s="6">
        <f>Sheet6!M137</f>
        <v>0</v>
      </c>
      <c r="L16" s="6">
        <f>Sheet6!N137</f>
        <v>3</v>
      </c>
      <c r="M16" s="6">
        <f>Sheet6!O137</f>
        <v>11</v>
      </c>
      <c r="N16" s="6">
        <f>Sheet6!P137</f>
        <v>1</v>
      </c>
      <c r="O16" s="6">
        <f>Sheet6!Q137</f>
        <v>0</v>
      </c>
      <c r="P16" s="6">
        <f t="shared" si="0"/>
        <v>571</v>
      </c>
    </row>
    <row r="17" spans="1:16" ht="37.5" customHeight="1" x14ac:dyDescent="0.25">
      <c r="A17" s="75">
        <v>11</v>
      </c>
      <c r="B17" s="264" t="s">
        <v>93</v>
      </c>
      <c r="C17" s="6">
        <f>Sheet6!E150</f>
        <v>210</v>
      </c>
      <c r="D17" s="6">
        <f>Sheet6!F150</f>
        <v>0</v>
      </c>
      <c r="E17" s="6">
        <f>Sheet6!G150</f>
        <v>1</v>
      </c>
      <c r="F17" s="6">
        <f>Sheet6!H150</f>
        <v>0</v>
      </c>
      <c r="G17" s="6">
        <f>Sheet6!I150</f>
        <v>0</v>
      </c>
      <c r="H17" s="6">
        <f>Sheet6!J150</f>
        <v>107</v>
      </c>
      <c r="I17" s="6">
        <f>Sheet6!K150</f>
        <v>1</v>
      </c>
      <c r="J17" s="6">
        <f>Sheet6!L150</f>
        <v>0</v>
      </c>
      <c r="K17" s="6">
        <f>Sheet6!M150</f>
        <v>1</v>
      </c>
      <c r="L17" s="6">
        <f>Sheet6!N150</f>
        <v>1</v>
      </c>
      <c r="M17" s="6">
        <f>Sheet6!O150</f>
        <v>6</v>
      </c>
      <c r="N17" s="6">
        <f>Sheet6!P150</f>
        <v>0</v>
      </c>
      <c r="O17" s="6">
        <f>Sheet6!Q150</f>
        <v>0</v>
      </c>
      <c r="P17" s="6">
        <f t="shared" si="0"/>
        <v>327</v>
      </c>
    </row>
    <row r="18" spans="1:16" ht="37.5" customHeight="1" x14ac:dyDescent="0.25">
      <c r="A18" s="75">
        <v>12</v>
      </c>
      <c r="B18" s="7" t="s">
        <v>95</v>
      </c>
      <c r="C18" s="6">
        <f>Sheet6!E163</f>
        <v>60</v>
      </c>
      <c r="D18" s="6">
        <f>Sheet6!F163</f>
        <v>0</v>
      </c>
      <c r="E18" s="6">
        <f>Sheet6!G163</f>
        <v>0</v>
      </c>
      <c r="F18" s="6">
        <f>Sheet6!H163</f>
        <v>0</v>
      </c>
      <c r="G18" s="6">
        <f>Sheet6!I163</f>
        <v>0</v>
      </c>
      <c r="H18" s="6">
        <f>Sheet6!J163</f>
        <v>0</v>
      </c>
      <c r="I18" s="6">
        <f>Sheet6!K163</f>
        <v>3723.15</v>
      </c>
      <c r="J18" s="6">
        <f>Sheet6!L163</f>
        <v>0</v>
      </c>
      <c r="K18" s="6">
        <f>Sheet6!M163</f>
        <v>0</v>
      </c>
      <c r="L18" s="6">
        <f>Sheet6!N163</f>
        <v>0</v>
      </c>
      <c r="M18" s="6">
        <f>Sheet6!O163</f>
        <v>0</v>
      </c>
      <c r="N18" s="6">
        <f>Sheet6!P163</f>
        <v>0</v>
      </c>
      <c r="O18" s="6">
        <f>Sheet6!Q163</f>
        <v>0</v>
      </c>
      <c r="P18" s="6">
        <f t="shared" si="0"/>
        <v>3783.15</v>
      </c>
    </row>
    <row r="19" spans="1:16" ht="37.5" customHeight="1" x14ac:dyDescent="0.25">
      <c r="A19" s="75">
        <v>13</v>
      </c>
      <c r="B19" s="264" t="s">
        <v>190</v>
      </c>
      <c r="C19" s="6">
        <f>Sheet6!E176</f>
        <v>6469</v>
      </c>
      <c r="D19" s="6">
        <f>Sheet6!F176</f>
        <v>47</v>
      </c>
      <c r="E19" s="6">
        <f>Sheet6!G176</f>
        <v>27</v>
      </c>
      <c r="F19" s="6">
        <f>Sheet6!H176</f>
        <v>11</v>
      </c>
      <c r="G19" s="6">
        <f>Sheet6!I176</f>
        <v>5</v>
      </c>
      <c r="H19" s="6">
        <f>Sheet6!J176</f>
        <v>5579</v>
      </c>
      <c r="I19" s="6">
        <f>Sheet6!K176</f>
        <v>11867.83</v>
      </c>
      <c r="J19" s="6">
        <f>Sheet6!L176</f>
        <v>0</v>
      </c>
      <c r="K19" s="6">
        <f>Sheet6!M176</f>
        <v>2420</v>
      </c>
      <c r="L19" s="6">
        <f>Sheet6!N176</f>
        <v>0</v>
      </c>
      <c r="M19" s="6">
        <f>Sheet6!O176</f>
        <v>0</v>
      </c>
      <c r="N19" s="6">
        <f>Sheet6!P176</f>
        <v>0</v>
      </c>
      <c r="O19" s="6">
        <f>Sheet6!Q176</f>
        <v>0</v>
      </c>
      <c r="P19" s="6">
        <f t="shared" si="0"/>
        <v>26425.83</v>
      </c>
    </row>
    <row r="20" spans="1:16" ht="37.5" customHeight="1" x14ac:dyDescent="0.25">
      <c r="A20" s="75">
        <v>14</v>
      </c>
      <c r="B20" s="264" t="s">
        <v>96</v>
      </c>
      <c r="C20" s="6">
        <f>Sheet6!E189</f>
        <v>570</v>
      </c>
      <c r="D20" s="6">
        <f>Sheet6!F189</f>
        <v>4</v>
      </c>
      <c r="E20" s="6">
        <f>Sheet6!G189</f>
        <v>0</v>
      </c>
      <c r="F20" s="6">
        <f>Sheet6!H189</f>
        <v>0</v>
      </c>
      <c r="G20" s="6">
        <f>Sheet6!I189</f>
        <v>0</v>
      </c>
      <c r="H20" s="6">
        <f>Sheet6!J189</f>
        <v>28</v>
      </c>
      <c r="I20" s="6">
        <f>Sheet6!K189</f>
        <v>3022</v>
      </c>
      <c r="J20" s="6">
        <f>Sheet6!L189</f>
        <v>0</v>
      </c>
      <c r="K20" s="6">
        <f>Sheet6!M189</f>
        <v>0</v>
      </c>
      <c r="L20" s="6">
        <f>Sheet6!N189</f>
        <v>0</v>
      </c>
      <c r="M20" s="6">
        <f>Sheet6!O189</f>
        <v>5</v>
      </c>
      <c r="N20" s="6">
        <f>Sheet6!P189</f>
        <v>0</v>
      </c>
      <c r="O20" s="6">
        <f>Sheet6!Q189</f>
        <v>0</v>
      </c>
      <c r="P20" s="6">
        <f t="shared" si="0"/>
        <v>3629</v>
      </c>
    </row>
    <row r="21" spans="1:16" ht="37.5" customHeight="1" x14ac:dyDescent="0.25">
      <c r="A21" s="75">
        <v>15</v>
      </c>
      <c r="B21" s="264" t="s">
        <v>97</v>
      </c>
      <c r="C21" s="6">
        <f>Sheet6!E202</f>
        <v>625</v>
      </c>
      <c r="D21" s="6">
        <f>Sheet6!F202</f>
        <v>0</v>
      </c>
      <c r="E21" s="6">
        <f>Sheet6!G202</f>
        <v>0</v>
      </c>
      <c r="F21" s="6">
        <f>Sheet6!H202</f>
        <v>1</v>
      </c>
      <c r="G21" s="6">
        <f>Sheet6!I202</f>
        <v>0</v>
      </c>
      <c r="H21" s="6">
        <f>Sheet6!J202</f>
        <v>0</v>
      </c>
      <c r="I21" s="6">
        <f>Sheet6!K202</f>
        <v>2537</v>
      </c>
      <c r="J21" s="6">
        <f>Sheet6!L202</f>
        <v>0</v>
      </c>
      <c r="K21" s="6">
        <f>Sheet6!M202</f>
        <v>0</v>
      </c>
      <c r="L21" s="6">
        <f>Sheet6!N202</f>
        <v>0</v>
      </c>
      <c r="M21" s="6">
        <f>Sheet6!O202</f>
        <v>2</v>
      </c>
      <c r="N21" s="6">
        <f>Sheet6!P202</f>
        <v>0</v>
      </c>
      <c r="O21" s="6">
        <f>Sheet6!Q202</f>
        <v>0</v>
      </c>
      <c r="P21" s="6">
        <f t="shared" si="0"/>
        <v>3165</v>
      </c>
    </row>
    <row r="22" spans="1:16" ht="37.5" customHeight="1" x14ac:dyDescent="0.25">
      <c r="A22" s="75">
        <v>16</v>
      </c>
      <c r="B22" s="264" t="s">
        <v>98</v>
      </c>
      <c r="C22" s="6">
        <f>Sheet6!E215</f>
        <v>97</v>
      </c>
      <c r="D22" s="6">
        <f>Sheet6!F215</f>
        <v>0</v>
      </c>
      <c r="E22" s="6">
        <f>Sheet6!G215</f>
        <v>0</v>
      </c>
      <c r="F22" s="6">
        <f>Sheet6!H215</f>
        <v>0</v>
      </c>
      <c r="G22" s="6">
        <f>Sheet6!I215</f>
        <v>0</v>
      </c>
      <c r="H22" s="6">
        <f>Sheet6!J215</f>
        <v>73</v>
      </c>
      <c r="I22" s="6">
        <f>Sheet6!K215</f>
        <v>115</v>
      </c>
      <c r="J22" s="6">
        <f>Sheet6!L215</f>
        <v>0</v>
      </c>
      <c r="K22" s="6">
        <f>Sheet6!M215</f>
        <v>0.5</v>
      </c>
      <c r="L22" s="6">
        <f>Sheet6!N215</f>
        <v>1</v>
      </c>
      <c r="M22" s="6">
        <f>Sheet6!O215</f>
        <v>1</v>
      </c>
      <c r="N22" s="6">
        <f>Sheet6!P215</f>
        <v>0</v>
      </c>
      <c r="O22" s="6">
        <f>Sheet6!Q215</f>
        <v>0</v>
      </c>
      <c r="P22" s="6">
        <f t="shared" si="0"/>
        <v>287.5</v>
      </c>
    </row>
    <row r="23" spans="1:16" ht="37.5" customHeight="1" x14ac:dyDescent="0.25">
      <c r="A23" s="75">
        <v>17</v>
      </c>
      <c r="B23" s="264" t="s">
        <v>99</v>
      </c>
      <c r="C23" s="6">
        <v>2446</v>
      </c>
      <c r="D23" s="6">
        <f>Sheet6!F228</f>
        <v>1</v>
      </c>
      <c r="E23" s="6">
        <f>Sheet6!G228</f>
        <v>1</v>
      </c>
      <c r="F23" s="6">
        <f>Sheet6!H228</f>
        <v>1</v>
      </c>
      <c r="G23" s="6">
        <f>Sheet6!I228</f>
        <v>1</v>
      </c>
      <c r="H23" s="6">
        <f>Sheet6!J228</f>
        <v>0</v>
      </c>
      <c r="I23" s="6">
        <f>Sheet6!K228</f>
        <v>485</v>
      </c>
      <c r="J23" s="6">
        <f>Sheet6!L228</f>
        <v>100</v>
      </c>
      <c r="K23" s="6">
        <f>Sheet6!M228</f>
        <v>233</v>
      </c>
      <c r="L23" s="6">
        <f>Sheet6!N228</f>
        <v>0</v>
      </c>
      <c r="M23" s="6">
        <f>Sheet6!O228</f>
        <v>2</v>
      </c>
      <c r="N23" s="6">
        <f>Sheet6!P228</f>
        <v>0</v>
      </c>
      <c r="O23" s="6">
        <f>Sheet6!Q228</f>
        <v>0</v>
      </c>
      <c r="P23" s="6">
        <f t="shared" si="0"/>
        <v>3270</v>
      </c>
    </row>
    <row r="24" spans="1:16" ht="37.5" customHeight="1" x14ac:dyDescent="0.25">
      <c r="A24" s="75">
        <v>18</v>
      </c>
      <c r="B24" s="264" t="s">
        <v>100</v>
      </c>
      <c r="C24" s="6">
        <f>Sheet6!E241</f>
        <v>22</v>
      </c>
      <c r="D24" s="6">
        <f>Sheet6!F241</f>
        <v>1</v>
      </c>
      <c r="E24" s="6">
        <f>Sheet6!G241</f>
        <v>1</v>
      </c>
      <c r="F24" s="6">
        <f>Sheet6!H241</f>
        <v>0</v>
      </c>
      <c r="G24" s="6">
        <f>Sheet6!I241</f>
        <v>0</v>
      </c>
      <c r="H24" s="6">
        <f>Sheet6!J241</f>
        <v>0</v>
      </c>
      <c r="I24" s="6">
        <f>Sheet6!K241</f>
        <v>0</v>
      </c>
      <c r="J24" s="6">
        <f>Sheet6!L241</f>
        <v>0</v>
      </c>
      <c r="K24" s="6">
        <f>Sheet6!M241</f>
        <v>0</v>
      </c>
      <c r="L24" s="6">
        <f>Sheet6!N241</f>
        <v>0</v>
      </c>
      <c r="M24" s="6">
        <f>Sheet6!O241</f>
        <v>0</v>
      </c>
      <c r="N24" s="6">
        <f>Sheet6!P241</f>
        <v>0</v>
      </c>
      <c r="O24" s="6">
        <f>Sheet6!Q241</f>
        <v>0</v>
      </c>
      <c r="P24" s="6">
        <f t="shared" si="0"/>
        <v>24</v>
      </c>
    </row>
    <row r="25" spans="1:16" ht="37.5" customHeight="1" x14ac:dyDescent="0.25">
      <c r="A25" s="75">
        <v>19</v>
      </c>
      <c r="B25" s="264" t="s">
        <v>101</v>
      </c>
      <c r="C25" s="6">
        <f>Sheet6!E254</f>
        <v>552</v>
      </c>
      <c r="D25" s="6">
        <f>Sheet6!F254</f>
        <v>6</v>
      </c>
      <c r="E25" s="6">
        <f>Sheet6!G254</f>
        <v>19</v>
      </c>
      <c r="F25" s="6">
        <f>Sheet6!H254</f>
        <v>5</v>
      </c>
      <c r="G25" s="6">
        <f>Sheet6!I254</f>
        <v>3</v>
      </c>
      <c r="H25" s="6">
        <f>Sheet6!J254</f>
        <v>20.5</v>
      </c>
      <c r="I25" s="6">
        <f>Sheet6!K254</f>
        <v>1210</v>
      </c>
      <c r="J25" s="6">
        <f>Sheet6!L254</f>
        <v>0</v>
      </c>
      <c r="K25" s="6">
        <f>Sheet6!M254</f>
        <v>13513.5</v>
      </c>
      <c r="L25" s="6">
        <f>Sheet6!N254</f>
        <v>4</v>
      </c>
      <c r="M25" s="6">
        <f>Sheet6!O254</f>
        <v>0</v>
      </c>
      <c r="N25" s="6">
        <f>Sheet6!P254</f>
        <v>0</v>
      </c>
      <c r="O25" s="6">
        <f>Sheet6!Q254</f>
        <v>0</v>
      </c>
      <c r="P25" s="6">
        <f t="shared" si="0"/>
        <v>15333</v>
      </c>
    </row>
    <row r="26" spans="1:16" ht="37.5" customHeight="1" x14ac:dyDescent="0.25">
      <c r="A26" s="75">
        <v>20</v>
      </c>
      <c r="B26" s="264" t="s">
        <v>102</v>
      </c>
      <c r="C26" s="6">
        <f>Sheet6!E280</f>
        <v>40</v>
      </c>
      <c r="D26" s="6">
        <f>Sheet6!F280</f>
        <v>1</v>
      </c>
      <c r="E26" s="6">
        <f>Sheet6!G280</f>
        <v>1</v>
      </c>
      <c r="F26" s="6">
        <f>Sheet6!H280</f>
        <v>0</v>
      </c>
      <c r="G26" s="6">
        <f>Sheet6!I280</f>
        <v>0</v>
      </c>
      <c r="H26" s="6">
        <f>Sheet6!J280</f>
        <v>0</v>
      </c>
      <c r="I26" s="6">
        <f>Sheet6!K280</f>
        <v>0</v>
      </c>
      <c r="J26" s="6">
        <f>Sheet6!L280</f>
        <v>0</v>
      </c>
      <c r="K26" s="6">
        <f>Sheet6!M280</f>
        <v>0</v>
      </c>
      <c r="L26" s="6">
        <f>Sheet6!N280</f>
        <v>0</v>
      </c>
      <c r="M26" s="6">
        <f>Sheet6!O280</f>
        <v>0</v>
      </c>
      <c r="N26" s="6">
        <f>Sheet6!P280</f>
        <v>0</v>
      </c>
      <c r="O26" s="6">
        <f>Sheet6!Q280</f>
        <v>0</v>
      </c>
      <c r="P26" s="6">
        <f t="shared" si="0"/>
        <v>42</v>
      </c>
    </row>
    <row r="27" spans="1:16" ht="37.5" customHeight="1" x14ac:dyDescent="0.25">
      <c r="A27" s="75">
        <v>21</v>
      </c>
      <c r="B27" s="264" t="s">
        <v>103</v>
      </c>
      <c r="C27" s="6">
        <f>Sheet6!E267</f>
        <v>24</v>
      </c>
      <c r="D27" s="6">
        <f>Sheet6!F267</f>
        <v>1</v>
      </c>
      <c r="E27" s="6">
        <f>Sheet6!G267</f>
        <v>0</v>
      </c>
      <c r="F27" s="6">
        <f>Sheet6!H267</f>
        <v>0</v>
      </c>
      <c r="G27" s="6">
        <f>Sheet6!I267</f>
        <v>0</v>
      </c>
      <c r="H27" s="6">
        <f>Sheet6!J267</f>
        <v>5</v>
      </c>
      <c r="I27" s="6">
        <f>Sheet6!K267</f>
        <v>1</v>
      </c>
      <c r="J27" s="6">
        <f>Sheet6!L267</f>
        <v>0</v>
      </c>
      <c r="K27" s="6">
        <f>Sheet6!M267</f>
        <v>0</v>
      </c>
      <c r="L27" s="6">
        <f>Sheet6!N267</f>
        <v>0</v>
      </c>
      <c r="M27" s="6">
        <f>Sheet6!O267</f>
        <v>0</v>
      </c>
      <c r="N27" s="6">
        <f>Sheet6!P267</f>
        <v>0</v>
      </c>
      <c r="O27" s="6">
        <f>Sheet6!Q267</f>
        <v>0</v>
      </c>
      <c r="P27" s="6">
        <f t="shared" si="0"/>
        <v>31</v>
      </c>
    </row>
    <row r="28" spans="1:16" ht="37.5" customHeight="1" x14ac:dyDescent="0.25">
      <c r="A28" s="75">
        <v>22</v>
      </c>
      <c r="B28" s="264" t="s">
        <v>104</v>
      </c>
      <c r="C28" s="6">
        <f>Sheet6!E293</f>
        <v>337</v>
      </c>
      <c r="D28" s="6">
        <f>Sheet6!F293</f>
        <v>0</v>
      </c>
      <c r="E28" s="6">
        <f>Sheet6!G293</f>
        <v>0</v>
      </c>
      <c r="F28" s="6">
        <f>Sheet6!H293</f>
        <v>0</v>
      </c>
      <c r="G28" s="6">
        <f>Sheet6!I293</f>
        <v>0</v>
      </c>
      <c r="H28" s="6">
        <f>Sheet6!J293</f>
        <v>0</v>
      </c>
      <c r="I28" s="6">
        <f>Sheet6!K293</f>
        <v>0</v>
      </c>
      <c r="J28" s="6">
        <f>Sheet6!L293</f>
        <v>0</v>
      </c>
      <c r="K28" s="6">
        <f>Sheet6!M293</f>
        <v>0</v>
      </c>
      <c r="L28" s="6">
        <f>Sheet6!N293</f>
        <v>0</v>
      </c>
      <c r="M28" s="6">
        <f>Sheet6!O293</f>
        <v>1</v>
      </c>
      <c r="N28" s="6">
        <f>Sheet6!P293</f>
        <v>0</v>
      </c>
      <c r="O28" s="6">
        <f>Sheet6!Q293</f>
        <v>0</v>
      </c>
      <c r="P28" s="6">
        <f t="shared" si="0"/>
        <v>338</v>
      </c>
    </row>
    <row r="29" spans="1:16" ht="37.5" customHeight="1" x14ac:dyDescent="0.25">
      <c r="A29" s="75">
        <v>23</v>
      </c>
      <c r="B29" s="264" t="s">
        <v>105</v>
      </c>
      <c r="C29" s="6">
        <f>Sheet6!E306</f>
        <v>1113</v>
      </c>
      <c r="D29" s="6">
        <f>Sheet6!F306</f>
        <v>6</v>
      </c>
      <c r="E29" s="6">
        <f>Sheet6!G306</f>
        <v>3</v>
      </c>
      <c r="F29" s="6">
        <f>Sheet6!H306</f>
        <v>1</v>
      </c>
      <c r="G29" s="6">
        <f>Sheet6!I306</f>
        <v>1</v>
      </c>
      <c r="H29" s="6">
        <f>Sheet6!J306</f>
        <v>3</v>
      </c>
      <c r="I29" s="6">
        <f>Sheet6!K306</f>
        <v>1</v>
      </c>
      <c r="J29" s="6">
        <f>Sheet6!L306</f>
        <v>0</v>
      </c>
      <c r="K29" s="6">
        <f>Sheet6!M306</f>
        <v>0</v>
      </c>
      <c r="L29" s="6">
        <f>Sheet6!N306</f>
        <v>2</v>
      </c>
      <c r="M29" s="6">
        <f>Sheet6!O306</f>
        <v>5</v>
      </c>
      <c r="N29" s="6">
        <f>Sheet6!P306</f>
        <v>0</v>
      </c>
      <c r="O29" s="6">
        <f>Sheet6!Q306</f>
        <v>0</v>
      </c>
      <c r="P29" s="6">
        <f t="shared" si="0"/>
        <v>1135</v>
      </c>
    </row>
    <row r="30" spans="1:16" ht="37.5" customHeight="1" x14ac:dyDescent="0.25">
      <c r="A30" s="75">
        <v>24</v>
      </c>
      <c r="B30" s="264" t="s">
        <v>106</v>
      </c>
      <c r="C30" s="6">
        <f>Sheet6!E319</f>
        <v>15</v>
      </c>
      <c r="D30" s="6">
        <f>Sheet6!F319</f>
        <v>0</v>
      </c>
      <c r="E30" s="6">
        <f>Sheet6!G319</f>
        <v>0</v>
      </c>
      <c r="F30" s="6">
        <f>Sheet6!H319</f>
        <v>0</v>
      </c>
      <c r="G30" s="6">
        <f>Sheet6!I319</f>
        <v>0</v>
      </c>
      <c r="H30" s="6">
        <f>Sheet6!J319</f>
        <v>56</v>
      </c>
      <c r="I30" s="6">
        <f>Sheet6!K319</f>
        <v>0</v>
      </c>
      <c r="J30" s="6">
        <f>Sheet6!L319</f>
        <v>0</v>
      </c>
      <c r="K30" s="6">
        <f>Sheet6!M319</f>
        <v>100</v>
      </c>
      <c r="L30" s="6">
        <f>Sheet6!N319</f>
        <v>0</v>
      </c>
      <c r="M30" s="6">
        <f>Sheet6!O319</f>
        <v>1</v>
      </c>
      <c r="N30" s="6">
        <f>Sheet6!P319</f>
        <v>1</v>
      </c>
      <c r="O30" s="6">
        <f>Sheet6!Q319</f>
        <v>0</v>
      </c>
      <c r="P30" s="6">
        <f t="shared" si="0"/>
        <v>173</v>
      </c>
    </row>
    <row r="31" spans="1:16" ht="45" customHeight="1" x14ac:dyDescent="0.25">
      <c r="B31" s="265" t="s">
        <v>15</v>
      </c>
      <c r="C31" s="265">
        <f>SUM(C7:C30)</f>
        <v>14787</v>
      </c>
      <c r="D31" s="265">
        <f t="shared" ref="D31:G31" si="1">SUM(D7:D30)</f>
        <v>84</v>
      </c>
      <c r="E31" s="265">
        <f t="shared" si="1"/>
        <v>60</v>
      </c>
      <c r="F31" s="265">
        <f t="shared" si="1"/>
        <v>22</v>
      </c>
      <c r="G31" s="265">
        <f t="shared" si="1"/>
        <v>13</v>
      </c>
      <c r="H31" s="265">
        <f t="shared" ref="H31" si="2">SUM(H7:H30)</f>
        <v>6306.5</v>
      </c>
      <c r="I31" s="265">
        <f t="shared" ref="I31" si="3">SUM(I7:I30)</f>
        <v>28146.98</v>
      </c>
      <c r="J31" s="265">
        <f t="shared" ref="J31" si="4">SUM(J7:J30)</f>
        <v>1001</v>
      </c>
      <c r="K31" s="265">
        <f t="shared" ref="K31" si="5">SUM(K7:K30)</f>
        <v>16300</v>
      </c>
      <c r="L31" s="265">
        <f t="shared" ref="L31" si="6">SUM(L7:L30)</f>
        <v>11</v>
      </c>
      <c r="M31" s="265">
        <f t="shared" ref="M31" si="7">SUM(M7:M30)</f>
        <v>36</v>
      </c>
      <c r="N31" s="265">
        <f t="shared" ref="N31" si="8">SUM(N7:N30)</f>
        <v>5</v>
      </c>
      <c r="O31" s="265">
        <f t="shared" ref="O31" si="9">SUM(O7:O30)</f>
        <v>0</v>
      </c>
      <c r="P31" s="265">
        <f>SUM(P7:P30)</f>
        <v>66772.48000000001</v>
      </c>
    </row>
  </sheetData>
  <mergeCells count="5">
    <mergeCell ref="C4:O4"/>
    <mergeCell ref="B1:P1"/>
    <mergeCell ref="B2:P2"/>
    <mergeCell ref="P5:P6"/>
    <mergeCell ref="B5:B6"/>
  </mergeCells>
  <pageMargins left="0.23622047244094491" right="0.23622047244094491" top="0.74803149606299213" bottom="0.74803149606299213" header="0.31496062992125984" footer="0.31496062992125984"/>
  <pageSetup paperSize="14" scale="57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5D69A-8D20-4D91-94F7-E9CE8A7BC6EB}">
  <dimension ref="B1:L320"/>
  <sheetViews>
    <sheetView topLeftCell="A130" zoomScale="85" zoomScaleNormal="85" workbookViewId="0">
      <selection activeCell="M144" sqref="M144"/>
    </sheetView>
  </sheetViews>
  <sheetFormatPr defaultRowHeight="15" x14ac:dyDescent="0.25"/>
  <cols>
    <col min="2" max="2" width="7" customWidth="1"/>
    <col min="3" max="3" width="12.28515625" bestFit="1" customWidth="1"/>
    <col min="4" max="4" width="19.5703125" bestFit="1" customWidth="1"/>
    <col min="6" max="6" width="11.85546875" customWidth="1"/>
    <col min="9" max="9" width="11.42578125" customWidth="1"/>
    <col min="10" max="10" width="11.28515625" bestFit="1" customWidth="1"/>
    <col min="11" max="11" width="11.85546875" customWidth="1"/>
  </cols>
  <sheetData>
    <row r="1" spans="2:12" x14ac:dyDescent="0.25">
      <c r="B1" s="399" t="s">
        <v>191</v>
      </c>
      <c r="C1" s="399"/>
      <c r="D1" s="399"/>
      <c r="E1" s="399"/>
      <c r="F1" s="399"/>
      <c r="G1" s="399"/>
      <c r="H1" s="399"/>
      <c r="I1" s="399"/>
      <c r="J1" s="399"/>
      <c r="K1" s="399"/>
    </row>
    <row r="2" spans="2:12" x14ac:dyDescent="0.25">
      <c r="B2" s="399" t="s">
        <v>0</v>
      </c>
      <c r="C2" s="399"/>
      <c r="D2" s="399"/>
      <c r="E2" s="399"/>
      <c r="F2" s="399"/>
      <c r="G2" s="399"/>
      <c r="H2" s="399"/>
      <c r="I2" s="399"/>
      <c r="J2" s="399"/>
      <c r="K2" s="399"/>
    </row>
    <row r="3" spans="2:12" ht="15.75" thickBot="1" x14ac:dyDescent="0.3"/>
    <row r="4" spans="2:12" ht="15.75" thickTop="1" x14ac:dyDescent="0.25">
      <c r="B4" s="410" t="s">
        <v>1</v>
      </c>
      <c r="C4" s="413" t="s">
        <v>2</v>
      </c>
      <c r="D4" s="416" t="s">
        <v>3</v>
      </c>
      <c r="E4" s="407" t="s">
        <v>114</v>
      </c>
      <c r="F4" s="409" t="s">
        <v>115</v>
      </c>
      <c r="G4" s="409"/>
      <c r="H4" s="409"/>
      <c r="I4" s="409"/>
      <c r="J4" s="409"/>
      <c r="K4" s="409"/>
      <c r="L4" s="406" t="s">
        <v>194</v>
      </c>
    </row>
    <row r="5" spans="2:12" ht="25.5" x14ac:dyDescent="0.25">
      <c r="B5" s="411"/>
      <c r="C5" s="414"/>
      <c r="D5" s="417"/>
      <c r="E5" s="408"/>
      <c r="F5" s="254" t="s">
        <v>138</v>
      </c>
      <c r="G5" s="254" t="s">
        <v>139</v>
      </c>
      <c r="H5" s="254" t="s">
        <v>140</v>
      </c>
      <c r="I5" s="254" t="s">
        <v>141</v>
      </c>
      <c r="J5" s="254" t="s">
        <v>142</v>
      </c>
      <c r="K5" s="254" t="s">
        <v>143</v>
      </c>
      <c r="L5" s="406"/>
    </row>
    <row r="6" spans="2:12" ht="15.75" thickBot="1" x14ac:dyDescent="0.3">
      <c r="B6" s="412"/>
      <c r="C6" s="415"/>
      <c r="D6" s="417"/>
      <c r="E6" s="255" t="s">
        <v>193</v>
      </c>
      <c r="F6" s="256" t="s">
        <v>55</v>
      </c>
      <c r="G6" s="256" t="s">
        <v>55</v>
      </c>
      <c r="H6" s="256" t="s">
        <v>55</v>
      </c>
      <c r="I6" s="256" t="s">
        <v>55</v>
      </c>
      <c r="J6" s="256" t="s">
        <v>55</v>
      </c>
      <c r="K6" s="256" t="s">
        <v>55</v>
      </c>
      <c r="L6" s="406"/>
    </row>
    <row r="7" spans="2:12" ht="16.5" thickTop="1" thickBot="1" x14ac:dyDescent="0.3">
      <c r="B7" s="180">
        <v>1</v>
      </c>
      <c r="C7" s="181">
        <v>2</v>
      </c>
      <c r="D7" s="181">
        <v>3</v>
      </c>
      <c r="E7" s="106">
        <v>4</v>
      </c>
      <c r="F7" s="106">
        <v>5</v>
      </c>
      <c r="G7" s="106">
        <v>6</v>
      </c>
      <c r="H7" s="106">
        <v>7</v>
      </c>
      <c r="I7" s="106">
        <v>8</v>
      </c>
      <c r="J7" s="106">
        <v>9</v>
      </c>
      <c r="K7" s="106">
        <v>10</v>
      </c>
      <c r="L7" s="268">
        <v>11</v>
      </c>
    </row>
    <row r="8" spans="2:12" x14ac:dyDescent="0.25">
      <c r="B8" s="387">
        <v>1</v>
      </c>
      <c r="C8" s="389" t="s">
        <v>16</v>
      </c>
      <c r="D8" s="186" t="s">
        <v>56</v>
      </c>
      <c r="E8" s="118">
        <v>11</v>
      </c>
      <c r="F8" s="115"/>
      <c r="G8" s="115"/>
      <c r="H8" s="115"/>
      <c r="I8" s="115"/>
      <c r="J8" s="115"/>
      <c r="K8" s="115"/>
      <c r="L8" s="75">
        <f>SUM(E8:K8)</f>
        <v>11</v>
      </c>
    </row>
    <row r="9" spans="2:12" x14ac:dyDescent="0.25">
      <c r="B9" s="388"/>
      <c r="C9" s="390"/>
      <c r="D9" s="189" t="s">
        <v>57</v>
      </c>
      <c r="E9" s="126"/>
      <c r="F9" s="126"/>
      <c r="G9" s="126"/>
      <c r="H9" s="126"/>
      <c r="I9" s="126"/>
      <c r="J9" s="126"/>
      <c r="K9" s="126"/>
      <c r="L9" s="75">
        <f t="shared" ref="L9:L72" si="0">SUM(E9:K9)</f>
        <v>0</v>
      </c>
    </row>
    <row r="10" spans="2:12" x14ac:dyDescent="0.25">
      <c r="B10" s="388"/>
      <c r="C10" s="390"/>
      <c r="D10" s="189" t="s">
        <v>58</v>
      </c>
      <c r="E10" s="129">
        <v>2</v>
      </c>
      <c r="F10" s="126"/>
      <c r="G10" s="126"/>
      <c r="H10" s="126"/>
      <c r="I10" s="126"/>
      <c r="J10" s="126"/>
      <c r="K10" s="126"/>
      <c r="L10" s="75">
        <f t="shared" si="0"/>
        <v>2</v>
      </c>
    </row>
    <row r="11" spans="2:12" x14ac:dyDescent="0.25">
      <c r="B11" s="388"/>
      <c r="C11" s="390"/>
      <c r="D11" s="189" t="s">
        <v>59</v>
      </c>
      <c r="E11" s="126"/>
      <c r="F11" s="126"/>
      <c r="G11" s="126"/>
      <c r="H11" s="126"/>
      <c r="I11" s="126"/>
      <c r="J11" s="126"/>
      <c r="K11" s="126"/>
      <c r="L11" s="75">
        <f t="shared" si="0"/>
        <v>0</v>
      </c>
    </row>
    <row r="12" spans="2:12" x14ac:dyDescent="0.25">
      <c r="B12" s="388"/>
      <c r="C12" s="390"/>
      <c r="D12" s="189" t="s">
        <v>60</v>
      </c>
      <c r="E12" s="126"/>
      <c r="F12" s="126"/>
      <c r="G12" s="126"/>
      <c r="H12" s="126"/>
      <c r="I12" s="126"/>
      <c r="J12" s="126"/>
      <c r="K12" s="126"/>
      <c r="L12" s="75">
        <f t="shared" si="0"/>
        <v>0</v>
      </c>
    </row>
    <row r="13" spans="2:12" x14ac:dyDescent="0.25">
      <c r="B13" s="388"/>
      <c r="C13" s="390"/>
      <c r="D13" s="189" t="s">
        <v>61</v>
      </c>
      <c r="E13" s="123"/>
      <c r="F13" s="123"/>
      <c r="G13" s="123"/>
      <c r="H13" s="123"/>
      <c r="I13" s="123"/>
      <c r="J13" s="123"/>
      <c r="K13" s="126"/>
      <c r="L13" s="75">
        <f t="shared" si="0"/>
        <v>0</v>
      </c>
    </row>
    <row r="14" spans="2:12" x14ac:dyDescent="0.25">
      <c r="B14" s="388"/>
      <c r="C14" s="390"/>
      <c r="D14" s="189" t="s">
        <v>62</v>
      </c>
      <c r="E14" s="129">
        <f>1+2+1+1+3+1+1</f>
        <v>10</v>
      </c>
      <c r="F14" s="123"/>
      <c r="G14" s="129">
        <v>1</v>
      </c>
      <c r="H14" s="123"/>
      <c r="I14" s="123"/>
      <c r="J14" s="129">
        <f>1+3+4</f>
        <v>8</v>
      </c>
      <c r="K14" s="129">
        <v>6</v>
      </c>
      <c r="L14" s="75">
        <f t="shared" si="0"/>
        <v>25</v>
      </c>
    </row>
    <row r="15" spans="2:12" x14ac:dyDescent="0.25">
      <c r="B15" s="388"/>
      <c r="C15" s="390"/>
      <c r="D15" s="189" t="s">
        <v>63</v>
      </c>
      <c r="E15" s="129">
        <f>4+15+3+1+1+1+2+1</f>
        <v>28</v>
      </c>
      <c r="F15" s="123"/>
      <c r="G15" s="129">
        <v>1</v>
      </c>
      <c r="H15" s="123"/>
      <c r="I15" s="123"/>
      <c r="J15" s="129">
        <v>10</v>
      </c>
      <c r="K15" s="129">
        <v>3</v>
      </c>
      <c r="L15" s="75">
        <f t="shared" si="0"/>
        <v>42</v>
      </c>
    </row>
    <row r="16" spans="2:12" x14ac:dyDescent="0.25">
      <c r="B16" s="388"/>
      <c r="C16" s="390"/>
      <c r="D16" s="189" t="s">
        <v>64</v>
      </c>
      <c r="E16" s="123"/>
      <c r="F16" s="123"/>
      <c r="G16" s="123"/>
      <c r="H16" s="123"/>
      <c r="I16" s="123"/>
      <c r="J16" s="123"/>
      <c r="K16" s="126"/>
      <c r="L16" s="75">
        <f t="shared" si="0"/>
        <v>0</v>
      </c>
    </row>
    <row r="17" spans="2:12" x14ac:dyDescent="0.25">
      <c r="B17" s="388"/>
      <c r="C17" s="390"/>
      <c r="D17" s="189" t="s">
        <v>65</v>
      </c>
      <c r="E17" s="123"/>
      <c r="F17" s="123"/>
      <c r="G17" s="123"/>
      <c r="H17" s="123"/>
      <c r="I17" s="123"/>
      <c r="J17" s="123"/>
      <c r="K17" s="123"/>
      <c r="L17" s="75">
        <f t="shared" si="0"/>
        <v>0</v>
      </c>
    </row>
    <row r="18" spans="2:12" x14ac:dyDescent="0.25">
      <c r="B18" s="388"/>
      <c r="C18" s="390"/>
      <c r="D18" s="189" t="s">
        <v>66</v>
      </c>
      <c r="E18" s="123"/>
      <c r="F18" s="123"/>
      <c r="G18" s="123"/>
      <c r="H18" s="123"/>
      <c r="I18" s="123"/>
      <c r="J18" s="123"/>
      <c r="K18" s="123"/>
      <c r="L18" s="75">
        <f t="shared" si="0"/>
        <v>0</v>
      </c>
    </row>
    <row r="19" spans="2:12" x14ac:dyDescent="0.25">
      <c r="B19" s="388"/>
      <c r="C19" s="390"/>
      <c r="D19" s="192" t="s">
        <v>67</v>
      </c>
      <c r="E19" s="214"/>
      <c r="F19" s="214"/>
      <c r="G19" s="214"/>
      <c r="H19" s="214"/>
      <c r="I19" s="214"/>
      <c r="J19" s="214"/>
      <c r="K19" s="214"/>
      <c r="L19" s="75">
        <f t="shared" si="0"/>
        <v>0</v>
      </c>
    </row>
    <row r="20" spans="2:12" x14ac:dyDescent="0.25">
      <c r="B20" s="377" t="s">
        <v>15</v>
      </c>
      <c r="C20" s="378"/>
      <c r="D20" s="379"/>
      <c r="E20" s="250">
        <f>SUM(E8:E19)</f>
        <v>51</v>
      </c>
      <c r="F20" s="250">
        <f t="shared" ref="F20:K20" si="1">SUM(F8:F19)</f>
        <v>0</v>
      </c>
      <c r="G20" s="250">
        <f t="shared" si="1"/>
        <v>2</v>
      </c>
      <c r="H20" s="250">
        <f t="shared" si="1"/>
        <v>0</v>
      </c>
      <c r="I20" s="250">
        <f t="shared" si="1"/>
        <v>0</v>
      </c>
      <c r="J20" s="250">
        <f t="shared" si="1"/>
        <v>18</v>
      </c>
      <c r="K20" s="250">
        <f t="shared" si="1"/>
        <v>9</v>
      </c>
      <c r="L20" s="275">
        <f t="shared" si="0"/>
        <v>80</v>
      </c>
    </row>
    <row r="21" spans="2:12" x14ac:dyDescent="0.25">
      <c r="B21" s="380">
        <v>2</v>
      </c>
      <c r="C21" s="381" t="s">
        <v>19</v>
      </c>
      <c r="D21" s="189" t="s">
        <v>56</v>
      </c>
      <c r="E21" s="208">
        <v>168</v>
      </c>
      <c r="F21" s="176"/>
      <c r="G21" s="176"/>
      <c r="H21" s="176"/>
      <c r="I21" s="176"/>
      <c r="J21" s="208">
        <v>31</v>
      </c>
      <c r="K21" s="207"/>
      <c r="L21" s="75">
        <f t="shared" si="0"/>
        <v>199</v>
      </c>
    </row>
    <row r="22" spans="2:12" x14ac:dyDescent="0.25">
      <c r="B22" s="380"/>
      <c r="C22" s="381"/>
      <c r="D22" s="189" t="s">
        <v>57</v>
      </c>
      <c r="E22" s="123"/>
      <c r="F22" s="123"/>
      <c r="G22" s="123"/>
      <c r="H22" s="123"/>
      <c r="I22" s="123"/>
      <c r="J22" s="123"/>
      <c r="K22" s="126"/>
      <c r="L22" s="75">
        <f t="shared" si="0"/>
        <v>0</v>
      </c>
    </row>
    <row r="23" spans="2:12" x14ac:dyDescent="0.25">
      <c r="B23" s="380"/>
      <c r="C23" s="381"/>
      <c r="D23" s="189" t="s">
        <v>58</v>
      </c>
      <c r="E23" s="129">
        <v>17</v>
      </c>
      <c r="F23" s="126"/>
      <c r="G23" s="129">
        <v>3</v>
      </c>
      <c r="H23" s="126"/>
      <c r="I23" s="126"/>
      <c r="J23" s="126"/>
      <c r="K23" s="129">
        <v>55</v>
      </c>
      <c r="L23" s="75">
        <f t="shared" si="0"/>
        <v>75</v>
      </c>
    </row>
    <row r="24" spans="2:12" x14ac:dyDescent="0.25">
      <c r="B24" s="380"/>
      <c r="C24" s="381"/>
      <c r="D24" s="189" t="s">
        <v>59</v>
      </c>
      <c r="E24" s="126"/>
      <c r="F24" s="126"/>
      <c r="G24" s="126"/>
      <c r="H24" s="126"/>
      <c r="I24" s="126"/>
      <c r="J24" s="126"/>
      <c r="K24" s="126"/>
      <c r="L24" s="75">
        <f t="shared" si="0"/>
        <v>0</v>
      </c>
    </row>
    <row r="25" spans="2:12" x14ac:dyDescent="0.25">
      <c r="B25" s="380"/>
      <c r="C25" s="381"/>
      <c r="D25" s="189" t="s">
        <v>60</v>
      </c>
      <c r="E25" s="126"/>
      <c r="F25" s="126"/>
      <c r="G25" s="126"/>
      <c r="H25" s="126"/>
      <c r="I25" s="126"/>
      <c r="J25" s="126"/>
      <c r="K25" s="126"/>
      <c r="L25" s="75">
        <f t="shared" si="0"/>
        <v>0</v>
      </c>
    </row>
    <row r="26" spans="2:12" x14ac:dyDescent="0.25">
      <c r="B26" s="380"/>
      <c r="C26" s="381"/>
      <c r="D26" s="189" t="s">
        <v>61</v>
      </c>
      <c r="E26" s="126"/>
      <c r="F26" s="126"/>
      <c r="G26" s="126"/>
      <c r="H26" s="126"/>
      <c r="I26" s="126"/>
      <c r="J26" s="126"/>
      <c r="K26" s="126"/>
      <c r="L26" s="75">
        <f t="shared" si="0"/>
        <v>0</v>
      </c>
    </row>
    <row r="27" spans="2:12" x14ac:dyDescent="0.25">
      <c r="B27" s="380"/>
      <c r="C27" s="381"/>
      <c r="D27" s="189" t="s">
        <v>62</v>
      </c>
      <c r="E27" s="129">
        <v>1</v>
      </c>
      <c r="F27" s="126"/>
      <c r="G27" s="126"/>
      <c r="H27" s="126"/>
      <c r="I27" s="126"/>
      <c r="J27" s="126"/>
      <c r="K27" s="126"/>
      <c r="L27" s="75">
        <f t="shared" si="0"/>
        <v>1</v>
      </c>
    </row>
    <row r="28" spans="2:12" x14ac:dyDescent="0.25">
      <c r="B28" s="380"/>
      <c r="C28" s="381"/>
      <c r="D28" s="189" t="s">
        <v>63</v>
      </c>
      <c r="E28" s="126"/>
      <c r="F28" s="126"/>
      <c r="G28" s="126"/>
      <c r="H28" s="126"/>
      <c r="I28" s="126"/>
      <c r="J28" s="129">
        <v>2</v>
      </c>
      <c r="K28" s="126"/>
      <c r="L28" s="75">
        <f t="shared" si="0"/>
        <v>2</v>
      </c>
    </row>
    <row r="29" spans="2:12" x14ac:dyDescent="0.25">
      <c r="B29" s="380"/>
      <c r="C29" s="381"/>
      <c r="D29" s="189" t="s">
        <v>64</v>
      </c>
      <c r="E29" s="126"/>
      <c r="F29" s="126"/>
      <c r="G29" s="126"/>
      <c r="H29" s="126"/>
      <c r="I29" s="126"/>
      <c r="J29" s="126"/>
      <c r="K29" s="126"/>
      <c r="L29" s="75">
        <f t="shared" si="0"/>
        <v>0</v>
      </c>
    </row>
    <row r="30" spans="2:12" x14ac:dyDescent="0.25">
      <c r="B30" s="380"/>
      <c r="C30" s="381"/>
      <c r="D30" s="189" t="s">
        <v>65</v>
      </c>
      <c r="E30" s="126"/>
      <c r="F30" s="126"/>
      <c r="G30" s="126"/>
      <c r="H30" s="126"/>
      <c r="I30" s="126"/>
      <c r="J30" s="126"/>
      <c r="K30" s="126"/>
      <c r="L30" s="75">
        <f t="shared" si="0"/>
        <v>0</v>
      </c>
    </row>
    <row r="31" spans="2:12" x14ac:dyDescent="0.25">
      <c r="B31" s="380"/>
      <c r="C31" s="381"/>
      <c r="D31" s="189" t="s">
        <v>66</v>
      </c>
      <c r="E31" s="126"/>
      <c r="F31" s="126"/>
      <c r="G31" s="126"/>
      <c r="H31" s="126"/>
      <c r="I31" s="126"/>
      <c r="J31" s="126"/>
      <c r="K31" s="126"/>
      <c r="L31" s="75">
        <f t="shared" si="0"/>
        <v>0</v>
      </c>
    </row>
    <row r="32" spans="2:12" x14ac:dyDescent="0.25">
      <c r="B32" s="380"/>
      <c r="C32" s="381"/>
      <c r="D32" s="189" t="s">
        <v>67</v>
      </c>
      <c r="E32" s="223">
        <f>1213+1358</f>
        <v>2571</v>
      </c>
      <c r="F32" s="222"/>
      <c r="G32" s="222"/>
      <c r="H32" s="222"/>
      <c r="I32" s="222"/>
      <c r="J32" s="223">
        <f>4165+3729</f>
        <v>7894</v>
      </c>
      <c r="K32" s="222"/>
      <c r="L32" s="75">
        <f t="shared" si="0"/>
        <v>10465</v>
      </c>
    </row>
    <row r="33" spans="2:12" x14ac:dyDescent="0.25">
      <c r="B33" s="377" t="s">
        <v>15</v>
      </c>
      <c r="C33" s="378"/>
      <c r="D33" s="379"/>
      <c r="E33" s="250">
        <f>SUM(E21:E32)</f>
        <v>2757</v>
      </c>
      <c r="F33" s="250">
        <f t="shared" ref="F33" si="2">SUM(F21:F32)</f>
        <v>0</v>
      </c>
      <c r="G33" s="250">
        <f t="shared" ref="G33" si="3">SUM(G21:G32)</f>
        <v>3</v>
      </c>
      <c r="H33" s="250">
        <f t="shared" ref="H33" si="4">SUM(H21:H32)</f>
        <v>0</v>
      </c>
      <c r="I33" s="250">
        <f t="shared" ref="I33" si="5">SUM(I21:I32)</f>
        <v>0</v>
      </c>
      <c r="J33" s="250">
        <f>SUM(J21:J32)</f>
        <v>7927</v>
      </c>
      <c r="K33" s="250">
        <f t="shared" ref="K33" si="6">SUM(K21:K32)</f>
        <v>55</v>
      </c>
      <c r="L33" s="275">
        <f t="shared" si="0"/>
        <v>10742</v>
      </c>
    </row>
    <row r="34" spans="2:12" x14ac:dyDescent="0.25">
      <c r="B34" s="380">
        <v>3</v>
      </c>
      <c r="C34" s="381" t="s">
        <v>17</v>
      </c>
      <c r="D34" s="189" t="s">
        <v>56</v>
      </c>
      <c r="E34" s="207"/>
      <c r="F34" s="207"/>
      <c r="G34" s="207"/>
      <c r="H34" s="207"/>
      <c r="I34" s="207"/>
      <c r="J34" s="207"/>
      <c r="K34" s="207"/>
      <c r="L34" s="75">
        <f t="shared" si="0"/>
        <v>0</v>
      </c>
    </row>
    <row r="35" spans="2:12" x14ac:dyDescent="0.25">
      <c r="B35" s="380"/>
      <c r="C35" s="381"/>
      <c r="D35" s="189" t="s">
        <v>57</v>
      </c>
      <c r="E35" s="126"/>
      <c r="F35" s="126"/>
      <c r="G35" s="126"/>
      <c r="H35" s="126"/>
      <c r="I35" s="126"/>
      <c r="J35" s="126"/>
      <c r="K35" s="126"/>
      <c r="L35" s="75">
        <f t="shared" si="0"/>
        <v>0</v>
      </c>
    </row>
    <row r="36" spans="2:12" x14ac:dyDescent="0.25">
      <c r="B36" s="380"/>
      <c r="C36" s="381"/>
      <c r="D36" s="189" t="s">
        <v>58</v>
      </c>
      <c r="E36" s="126"/>
      <c r="F36" s="126"/>
      <c r="G36" s="126"/>
      <c r="H36" s="126"/>
      <c r="I36" s="126"/>
      <c r="J36" s="126"/>
      <c r="K36" s="126"/>
      <c r="L36" s="75">
        <f t="shared" si="0"/>
        <v>0</v>
      </c>
    </row>
    <row r="37" spans="2:12" x14ac:dyDescent="0.25">
      <c r="B37" s="380"/>
      <c r="C37" s="381"/>
      <c r="D37" s="189" t="s">
        <v>59</v>
      </c>
      <c r="E37" s="126"/>
      <c r="F37" s="126"/>
      <c r="G37" s="126"/>
      <c r="H37" s="126"/>
      <c r="I37" s="126"/>
      <c r="J37" s="126"/>
      <c r="K37" s="126"/>
      <c r="L37" s="75">
        <f t="shared" si="0"/>
        <v>0</v>
      </c>
    </row>
    <row r="38" spans="2:12" x14ac:dyDescent="0.25">
      <c r="B38" s="380"/>
      <c r="C38" s="381"/>
      <c r="D38" s="189" t="s">
        <v>60</v>
      </c>
      <c r="E38" s="126"/>
      <c r="F38" s="126"/>
      <c r="G38" s="126"/>
      <c r="H38" s="126"/>
      <c r="I38" s="126"/>
      <c r="J38" s="126"/>
      <c r="K38" s="126"/>
      <c r="L38" s="75">
        <f t="shared" si="0"/>
        <v>0</v>
      </c>
    </row>
    <row r="39" spans="2:12" x14ac:dyDescent="0.25">
      <c r="B39" s="380"/>
      <c r="C39" s="381"/>
      <c r="D39" s="189" t="s">
        <v>61</v>
      </c>
      <c r="E39" s="126"/>
      <c r="F39" s="126"/>
      <c r="G39" s="126"/>
      <c r="H39" s="126"/>
      <c r="I39" s="126"/>
      <c r="J39" s="126"/>
      <c r="K39" s="126"/>
      <c r="L39" s="75">
        <f t="shared" si="0"/>
        <v>0</v>
      </c>
    </row>
    <row r="40" spans="2:12" x14ac:dyDescent="0.25">
      <c r="B40" s="380"/>
      <c r="C40" s="381"/>
      <c r="D40" s="189" t="s">
        <v>62</v>
      </c>
      <c r="E40" s="129">
        <f>4+2+1+2+5</f>
        <v>14</v>
      </c>
      <c r="F40" s="129">
        <v>1</v>
      </c>
      <c r="G40" s="126"/>
      <c r="H40" s="126"/>
      <c r="I40" s="126"/>
      <c r="J40" s="129">
        <v>2</v>
      </c>
      <c r="K40" s="126"/>
      <c r="L40" s="75">
        <f t="shared" si="0"/>
        <v>17</v>
      </c>
    </row>
    <row r="41" spans="2:12" x14ac:dyDescent="0.25">
      <c r="B41" s="380"/>
      <c r="C41" s="381"/>
      <c r="D41" s="189" t="s">
        <v>63</v>
      </c>
      <c r="E41" s="129">
        <v>1</v>
      </c>
      <c r="F41" s="123"/>
      <c r="G41" s="123"/>
      <c r="H41" s="123"/>
      <c r="I41" s="123"/>
      <c r="J41" s="123"/>
      <c r="K41" s="123"/>
      <c r="L41" s="75">
        <f t="shared" si="0"/>
        <v>1</v>
      </c>
    </row>
    <row r="42" spans="2:12" x14ac:dyDescent="0.25">
      <c r="B42" s="380"/>
      <c r="C42" s="381"/>
      <c r="D42" s="189" t="s">
        <v>64</v>
      </c>
      <c r="E42" s="123"/>
      <c r="F42" s="126"/>
      <c r="G42" s="126"/>
      <c r="H42" s="126"/>
      <c r="I42" s="126"/>
      <c r="J42" s="126"/>
      <c r="K42" s="123"/>
      <c r="L42" s="75">
        <f t="shared" si="0"/>
        <v>0</v>
      </c>
    </row>
    <row r="43" spans="2:12" x14ac:dyDescent="0.25">
      <c r="B43" s="380"/>
      <c r="C43" s="381"/>
      <c r="D43" s="189" t="s">
        <v>65</v>
      </c>
      <c r="E43" s="126"/>
      <c r="F43" s="126"/>
      <c r="G43" s="126"/>
      <c r="H43" s="126"/>
      <c r="I43" s="126"/>
      <c r="J43" s="126"/>
      <c r="K43" s="126"/>
      <c r="L43" s="75">
        <f t="shared" si="0"/>
        <v>0</v>
      </c>
    </row>
    <row r="44" spans="2:12" x14ac:dyDescent="0.25">
      <c r="B44" s="380"/>
      <c r="C44" s="381"/>
      <c r="D44" s="189" t="s">
        <v>66</v>
      </c>
      <c r="E44" s="126"/>
      <c r="F44" s="126"/>
      <c r="G44" s="126"/>
      <c r="H44" s="126"/>
      <c r="I44" s="126"/>
      <c r="J44" s="126"/>
      <c r="K44" s="126"/>
      <c r="L44" s="75">
        <f t="shared" si="0"/>
        <v>0</v>
      </c>
    </row>
    <row r="45" spans="2:12" x14ac:dyDescent="0.25">
      <c r="B45" s="380"/>
      <c r="C45" s="381"/>
      <c r="D45" s="189" t="s">
        <v>67</v>
      </c>
      <c r="E45" s="222"/>
      <c r="F45" s="222"/>
      <c r="G45" s="222"/>
      <c r="H45" s="222"/>
      <c r="I45" s="222"/>
      <c r="J45" s="222"/>
      <c r="K45" s="222"/>
      <c r="L45" s="75">
        <f t="shared" si="0"/>
        <v>0</v>
      </c>
    </row>
    <row r="46" spans="2:12" x14ac:dyDescent="0.25">
      <c r="B46" s="377" t="s">
        <v>15</v>
      </c>
      <c r="C46" s="378"/>
      <c r="D46" s="379"/>
      <c r="E46" s="250">
        <f>SUM(E34:E45)</f>
        <v>15</v>
      </c>
      <c r="F46" s="250">
        <f t="shared" ref="F46" si="7">SUM(F34:F45)</f>
        <v>1</v>
      </c>
      <c r="G46" s="250">
        <f t="shared" ref="G46" si="8">SUM(G34:G45)</f>
        <v>0</v>
      </c>
      <c r="H46" s="250">
        <f t="shared" ref="H46" si="9">SUM(H34:H45)</f>
        <v>0</v>
      </c>
      <c r="I46" s="250">
        <f t="shared" ref="I46" si="10">SUM(I34:I45)</f>
        <v>0</v>
      </c>
      <c r="J46" s="250">
        <f t="shared" ref="J46" si="11">SUM(J34:J45)</f>
        <v>2</v>
      </c>
      <c r="K46" s="250">
        <f t="shared" ref="K46" si="12">SUM(K34:K45)</f>
        <v>0</v>
      </c>
      <c r="L46" s="275">
        <f t="shared" si="0"/>
        <v>18</v>
      </c>
    </row>
    <row r="47" spans="2:12" x14ac:dyDescent="0.25">
      <c r="B47" s="380">
        <v>4</v>
      </c>
      <c r="C47" s="381" t="s">
        <v>20</v>
      </c>
      <c r="D47" s="189" t="s">
        <v>56</v>
      </c>
      <c r="E47" s="207"/>
      <c r="F47" s="207"/>
      <c r="G47" s="207"/>
      <c r="H47" s="207"/>
      <c r="I47" s="207"/>
      <c r="J47" s="207"/>
      <c r="K47" s="207"/>
      <c r="L47" s="75">
        <f t="shared" si="0"/>
        <v>0</v>
      </c>
    </row>
    <row r="48" spans="2:12" x14ac:dyDescent="0.25">
      <c r="B48" s="380"/>
      <c r="C48" s="381"/>
      <c r="D48" s="189" t="s">
        <v>57</v>
      </c>
      <c r="E48" s="126"/>
      <c r="F48" s="126"/>
      <c r="G48" s="126"/>
      <c r="H48" s="126"/>
      <c r="I48" s="126"/>
      <c r="J48" s="126"/>
      <c r="K48" s="126"/>
      <c r="L48" s="75">
        <f t="shared" si="0"/>
        <v>0</v>
      </c>
    </row>
    <row r="49" spans="2:12" x14ac:dyDescent="0.25">
      <c r="B49" s="380"/>
      <c r="C49" s="381"/>
      <c r="D49" s="189" t="s">
        <v>58</v>
      </c>
      <c r="E49" s="126"/>
      <c r="F49" s="126"/>
      <c r="G49" s="126"/>
      <c r="H49" s="126"/>
      <c r="I49" s="126"/>
      <c r="J49" s="126"/>
      <c r="K49" s="126"/>
      <c r="L49" s="75">
        <f t="shared" si="0"/>
        <v>0</v>
      </c>
    </row>
    <row r="50" spans="2:12" x14ac:dyDescent="0.25">
      <c r="B50" s="380"/>
      <c r="C50" s="381"/>
      <c r="D50" s="189" t="s">
        <v>59</v>
      </c>
      <c r="E50" s="126"/>
      <c r="F50" s="126"/>
      <c r="G50" s="126"/>
      <c r="H50" s="126"/>
      <c r="I50" s="126"/>
      <c r="J50" s="126"/>
      <c r="K50" s="126"/>
      <c r="L50" s="75">
        <f t="shared" si="0"/>
        <v>0</v>
      </c>
    </row>
    <row r="51" spans="2:12" x14ac:dyDescent="0.25">
      <c r="B51" s="380"/>
      <c r="C51" s="381"/>
      <c r="D51" s="189" t="s">
        <v>60</v>
      </c>
      <c r="E51" s="126"/>
      <c r="F51" s="126"/>
      <c r="G51" s="126"/>
      <c r="H51" s="126"/>
      <c r="I51" s="126"/>
      <c r="J51" s="126"/>
      <c r="K51" s="126"/>
      <c r="L51" s="75">
        <f t="shared" si="0"/>
        <v>0</v>
      </c>
    </row>
    <row r="52" spans="2:12" x14ac:dyDescent="0.25">
      <c r="B52" s="380"/>
      <c r="C52" s="381"/>
      <c r="D52" s="189" t="s">
        <v>61</v>
      </c>
      <c r="E52" s="126"/>
      <c r="F52" s="126"/>
      <c r="G52" s="126"/>
      <c r="H52" s="126"/>
      <c r="I52" s="126"/>
      <c r="J52" s="126"/>
      <c r="K52" s="126"/>
      <c r="L52" s="75">
        <f t="shared" si="0"/>
        <v>0</v>
      </c>
    </row>
    <row r="53" spans="2:12" x14ac:dyDescent="0.25">
      <c r="B53" s="380"/>
      <c r="C53" s="381"/>
      <c r="D53" s="189" t="s">
        <v>62</v>
      </c>
      <c r="E53" s="129">
        <f>3+3+19+12+8+6+16</f>
        <v>67</v>
      </c>
      <c r="F53" s="129">
        <v>1</v>
      </c>
      <c r="G53" s="123"/>
      <c r="H53" s="123"/>
      <c r="I53" s="123"/>
      <c r="J53" s="129">
        <f>7+25+11</f>
        <v>43</v>
      </c>
      <c r="K53" s="129">
        <v>1</v>
      </c>
      <c r="L53" s="75">
        <f t="shared" si="0"/>
        <v>112</v>
      </c>
    </row>
    <row r="54" spans="2:12" x14ac:dyDescent="0.25">
      <c r="B54" s="380"/>
      <c r="C54" s="381"/>
      <c r="D54" s="189" t="s">
        <v>63</v>
      </c>
      <c r="E54" s="129">
        <f>1+1</f>
        <v>2</v>
      </c>
      <c r="F54" s="123"/>
      <c r="G54" s="123"/>
      <c r="H54" s="123"/>
      <c r="I54" s="123"/>
      <c r="J54" s="129">
        <v>3</v>
      </c>
      <c r="K54" s="123"/>
      <c r="L54" s="75">
        <f t="shared" si="0"/>
        <v>5</v>
      </c>
    </row>
    <row r="55" spans="2:12" x14ac:dyDescent="0.25">
      <c r="B55" s="380"/>
      <c r="C55" s="381"/>
      <c r="D55" s="189" t="s">
        <v>64</v>
      </c>
      <c r="E55" s="129">
        <f>6+1</f>
        <v>7</v>
      </c>
      <c r="F55" s="126"/>
      <c r="G55" s="126"/>
      <c r="H55" s="126"/>
      <c r="I55" s="126"/>
      <c r="J55" s="129">
        <v>1</v>
      </c>
      <c r="K55" s="129">
        <f>6+4</f>
        <v>10</v>
      </c>
      <c r="L55" s="75">
        <f t="shared" si="0"/>
        <v>18</v>
      </c>
    </row>
    <row r="56" spans="2:12" x14ac:dyDescent="0.25">
      <c r="B56" s="380"/>
      <c r="C56" s="381"/>
      <c r="D56" s="189" t="s">
        <v>65</v>
      </c>
      <c r="E56" s="126"/>
      <c r="F56" s="126"/>
      <c r="G56" s="126"/>
      <c r="H56" s="126"/>
      <c r="I56" s="126"/>
      <c r="J56" s="126"/>
      <c r="K56" s="126"/>
      <c r="L56" s="75">
        <f t="shared" si="0"/>
        <v>0</v>
      </c>
    </row>
    <row r="57" spans="2:12" x14ac:dyDescent="0.25">
      <c r="B57" s="380"/>
      <c r="C57" s="381"/>
      <c r="D57" s="189" t="s">
        <v>66</v>
      </c>
      <c r="E57" s="126"/>
      <c r="F57" s="126"/>
      <c r="G57" s="126"/>
      <c r="H57" s="126"/>
      <c r="I57" s="126"/>
      <c r="J57" s="126"/>
      <c r="K57" s="126"/>
      <c r="L57" s="75">
        <f t="shared" si="0"/>
        <v>0</v>
      </c>
    </row>
    <row r="58" spans="2:12" x14ac:dyDescent="0.25">
      <c r="B58" s="380"/>
      <c r="C58" s="381"/>
      <c r="D58" s="189" t="s">
        <v>67</v>
      </c>
      <c r="E58" s="223">
        <f>359+128</f>
        <v>487</v>
      </c>
      <c r="F58" s="222"/>
      <c r="G58" s="222"/>
      <c r="H58" s="222"/>
      <c r="I58" s="222"/>
      <c r="J58" s="223">
        <v>1400</v>
      </c>
      <c r="K58" s="222"/>
      <c r="L58" s="75">
        <f t="shared" si="0"/>
        <v>1887</v>
      </c>
    </row>
    <row r="59" spans="2:12" x14ac:dyDescent="0.25">
      <c r="B59" s="377" t="s">
        <v>15</v>
      </c>
      <c r="C59" s="378"/>
      <c r="D59" s="379"/>
      <c r="E59" s="250">
        <f>SUM(E47:E58)</f>
        <v>563</v>
      </c>
      <c r="F59" s="250">
        <f t="shared" ref="F59" si="13">SUM(F47:F58)</f>
        <v>1</v>
      </c>
      <c r="G59" s="250">
        <f t="shared" ref="G59" si="14">SUM(G47:G58)</f>
        <v>0</v>
      </c>
      <c r="H59" s="250">
        <f t="shared" ref="H59" si="15">SUM(H47:H58)</f>
        <v>0</v>
      </c>
      <c r="I59" s="250">
        <f t="shared" ref="I59" si="16">SUM(I47:I58)</f>
        <v>0</v>
      </c>
      <c r="J59" s="250">
        <f t="shared" ref="J59" si="17">SUM(J47:J58)</f>
        <v>1447</v>
      </c>
      <c r="K59" s="250">
        <f t="shared" ref="K59" si="18">SUM(K47:K58)</f>
        <v>11</v>
      </c>
      <c r="L59" s="275">
        <f t="shared" si="0"/>
        <v>2022</v>
      </c>
    </row>
    <row r="60" spans="2:12" x14ac:dyDescent="0.25">
      <c r="B60" s="380">
        <v>5</v>
      </c>
      <c r="C60" s="381" t="s">
        <v>21</v>
      </c>
      <c r="D60" s="189" t="s">
        <v>56</v>
      </c>
      <c r="E60" s="207"/>
      <c r="F60" s="207"/>
      <c r="G60" s="207"/>
      <c r="H60" s="207"/>
      <c r="I60" s="207"/>
      <c r="J60" s="207"/>
      <c r="K60" s="207"/>
      <c r="L60" s="75">
        <f t="shared" si="0"/>
        <v>0</v>
      </c>
    </row>
    <row r="61" spans="2:12" x14ac:dyDescent="0.25">
      <c r="B61" s="380"/>
      <c r="C61" s="381"/>
      <c r="D61" s="189" t="s">
        <v>57</v>
      </c>
      <c r="E61" s="126"/>
      <c r="F61" s="126"/>
      <c r="G61" s="126"/>
      <c r="H61" s="126"/>
      <c r="I61" s="126"/>
      <c r="J61" s="126"/>
      <c r="K61" s="126"/>
      <c r="L61" s="75">
        <f t="shared" si="0"/>
        <v>0</v>
      </c>
    </row>
    <row r="62" spans="2:12" x14ac:dyDescent="0.25">
      <c r="B62" s="380"/>
      <c r="C62" s="381"/>
      <c r="D62" s="189" t="s">
        <v>58</v>
      </c>
      <c r="E62" s="126"/>
      <c r="F62" s="126"/>
      <c r="G62" s="126"/>
      <c r="H62" s="126"/>
      <c r="I62" s="126"/>
      <c r="J62" s="126"/>
      <c r="K62" s="126"/>
      <c r="L62" s="75">
        <f t="shared" si="0"/>
        <v>0</v>
      </c>
    </row>
    <row r="63" spans="2:12" x14ac:dyDescent="0.25">
      <c r="B63" s="380"/>
      <c r="C63" s="381"/>
      <c r="D63" s="189" t="s">
        <v>59</v>
      </c>
      <c r="E63" s="126"/>
      <c r="F63" s="126"/>
      <c r="G63" s="126"/>
      <c r="H63" s="126"/>
      <c r="I63" s="126"/>
      <c r="J63" s="126"/>
      <c r="K63" s="126"/>
      <c r="L63" s="75">
        <f t="shared" si="0"/>
        <v>0</v>
      </c>
    </row>
    <row r="64" spans="2:12" x14ac:dyDescent="0.25">
      <c r="B64" s="380"/>
      <c r="C64" s="381"/>
      <c r="D64" s="189" t="s">
        <v>60</v>
      </c>
      <c r="E64" s="126"/>
      <c r="F64" s="126"/>
      <c r="G64" s="126"/>
      <c r="H64" s="126"/>
      <c r="I64" s="126"/>
      <c r="J64" s="126"/>
      <c r="K64" s="126"/>
      <c r="L64" s="75">
        <f t="shared" si="0"/>
        <v>0</v>
      </c>
    </row>
    <row r="65" spans="2:12" x14ac:dyDescent="0.25">
      <c r="B65" s="380"/>
      <c r="C65" s="381"/>
      <c r="D65" s="189" t="s">
        <v>61</v>
      </c>
      <c r="E65" s="126"/>
      <c r="F65" s="126"/>
      <c r="G65" s="126"/>
      <c r="H65" s="126"/>
      <c r="I65" s="126"/>
      <c r="J65" s="126"/>
      <c r="K65" s="126"/>
      <c r="L65" s="75">
        <f t="shared" si="0"/>
        <v>0</v>
      </c>
    </row>
    <row r="66" spans="2:12" x14ac:dyDescent="0.25">
      <c r="B66" s="380"/>
      <c r="C66" s="381"/>
      <c r="D66" s="189" t="s">
        <v>62</v>
      </c>
      <c r="E66" s="129">
        <f>1+3+5+4+1</f>
        <v>14</v>
      </c>
      <c r="F66" s="126"/>
      <c r="G66" s="126"/>
      <c r="H66" s="126"/>
      <c r="I66" s="126"/>
      <c r="J66" s="126"/>
      <c r="K66" s="129">
        <v>3</v>
      </c>
      <c r="L66" s="75">
        <f t="shared" si="0"/>
        <v>17</v>
      </c>
    </row>
    <row r="67" spans="2:12" x14ac:dyDescent="0.25">
      <c r="B67" s="380"/>
      <c r="C67" s="381"/>
      <c r="D67" s="189" t="s">
        <v>63</v>
      </c>
      <c r="E67" s="129">
        <f>27+19+23+43</f>
        <v>112</v>
      </c>
      <c r="F67" s="123"/>
      <c r="G67" s="123"/>
      <c r="H67" s="123"/>
      <c r="I67" s="123"/>
      <c r="J67" s="129">
        <f>5+3+1</f>
        <v>9</v>
      </c>
      <c r="K67" s="123"/>
      <c r="L67" s="75">
        <f t="shared" si="0"/>
        <v>121</v>
      </c>
    </row>
    <row r="68" spans="2:12" x14ac:dyDescent="0.25">
      <c r="B68" s="380"/>
      <c r="C68" s="381"/>
      <c r="D68" s="189" t="s">
        <v>64</v>
      </c>
      <c r="E68" s="129">
        <f>26+40</f>
        <v>66</v>
      </c>
      <c r="F68" s="123"/>
      <c r="G68" s="123"/>
      <c r="H68" s="123"/>
      <c r="I68" s="123"/>
      <c r="J68" s="129">
        <f>12+4</f>
        <v>16</v>
      </c>
      <c r="K68" s="123"/>
      <c r="L68" s="75">
        <f t="shared" si="0"/>
        <v>82</v>
      </c>
    </row>
    <row r="69" spans="2:12" x14ac:dyDescent="0.25">
      <c r="B69" s="380"/>
      <c r="C69" s="381"/>
      <c r="D69" s="189" t="s">
        <v>65</v>
      </c>
      <c r="E69" s="129">
        <v>22</v>
      </c>
      <c r="F69" s="123"/>
      <c r="G69" s="123"/>
      <c r="H69" s="123"/>
      <c r="I69" s="123"/>
      <c r="J69" s="123"/>
      <c r="K69" s="123"/>
      <c r="L69" s="75">
        <f t="shared" si="0"/>
        <v>22</v>
      </c>
    </row>
    <row r="70" spans="2:12" x14ac:dyDescent="0.25">
      <c r="B70" s="380"/>
      <c r="C70" s="381"/>
      <c r="D70" s="189" t="s">
        <v>66</v>
      </c>
      <c r="E70" s="123"/>
      <c r="F70" s="123"/>
      <c r="G70" s="123"/>
      <c r="H70" s="123"/>
      <c r="I70" s="123"/>
      <c r="J70" s="123"/>
      <c r="K70" s="123"/>
      <c r="L70" s="75">
        <f t="shared" si="0"/>
        <v>0</v>
      </c>
    </row>
    <row r="71" spans="2:12" x14ac:dyDescent="0.25">
      <c r="B71" s="380"/>
      <c r="C71" s="381"/>
      <c r="D71" s="189" t="s">
        <v>67</v>
      </c>
      <c r="E71" s="223">
        <f>996+450</f>
        <v>1446</v>
      </c>
      <c r="F71" s="214"/>
      <c r="G71" s="214"/>
      <c r="H71" s="214"/>
      <c r="I71" s="214"/>
      <c r="J71" s="223">
        <v>200</v>
      </c>
      <c r="K71" s="214"/>
      <c r="L71" s="75">
        <f t="shared" si="0"/>
        <v>1646</v>
      </c>
    </row>
    <row r="72" spans="2:12" x14ac:dyDescent="0.25">
      <c r="B72" s="377" t="s">
        <v>15</v>
      </c>
      <c r="C72" s="378"/>
      <c r="D72" s="379"/>
      <c r="E72" s="250">
        <f>SUM(E60:E71)</f>
        <v>1660</v>
      </c>
      <c r="F72" s="250">
        <f t="shared" ref="F72" si="19">SUM(F60:F71)</f>
        <v>0</v>
      </c>
      <c r="G72" s="250">
        <f t="shared" ref="G72" si="20">SUM(G60:G71)</f>
        <v>0</v>
      </c>
      <c r="H72" s="250">
        <f t="shared" ref="H72" si="21">SUM(H60:H71)</f>
        <v>0</v>
      </c>
      <c r="I72" s="250">
        <f t="shared" ref="I72" si="22">SUM(I60:I71)</f>
        <v>0</v>
      </c>
      <c r="J72" s="250">
        <f t="shared" ref="J72" si="23">SUM(J60:J71)</f>
        <v>225</v>
      </c>
      <c r="K72" s="250">
        <f t="shared" ref="K72" si="24">SUM(K60:K71)</f>
        <v>3</v>
      </c>
      <c r="L72" s="275">
        <f t="shared" si="0"/>
        <v>1888</v>
      </c>
    </row>
    <row r="73" spans="2:12" x14ac:dyDescent="0.25">
      <c r="B73" s="380">
        <v>6</v>
      </c>
      <c r="C73" s="381" t="s">
        <v>22</v>
      </c>
      <c r="D73" s="189" t="s">
        <v>56</v>
      </c>
      <c r="E73" s="208">
        <v>1</v>
      </c>
      <c r="F73" s="207"/>
      <c r="G73" s="207"/>
      <c r="H73" s="207"/>
      <c r="I73" s="207"/>
      <c r="J73" s="207"/>
      <c r="K73" s="207"/>
      <c r="L73" s="75">
        <f t="shared" ref="L73:L136" si="25">SUM(E73:K73)</f>
        <v>1</v>
      </c>
    </row>
    <row r="74" spans="2:12" x14ac:dyDescent="0.25">
      <c r="B74" s="380"/>
      <c r="C74" s="381"/>
      <c r="D74" s="189" t="s">
        <v>57</v>
      </c>
      <c r="E74" s="126"/>
      <c r="F74" s="126"/>
      <c r="G74" s="126"/>
      <c r="H74" s="126"/>
      <c r="I74" s="126"/>
      <c r="J74" s="126"/>
      <c r="K74" s="126"/>
      <c r="L74" s="75">
        <f t="shared" si="25"/>
        <v>0</v>
      </c>
    </row>
    <row r="75" spans="2:12" x14ac:dyDescent="0.25">
      <c r="B75" s="380"/>
      <c r="C75" s="381"/>
      <c r="D75" s="189" t="s">
        <v>58</v>
      </c>
      <c r="E75" s="129">
        <f>300+24+15</f>
        <v>339</v>
      </c>
      <c r="F75" s="123"/>
      <c r="G75" s="123"/>
      <c r="H75" s="123"/>
      <c r="I75" s="123"/>
      <c r="J75" s="123"/>
      <c r="K75" s="129">
        <v>63</v>
      </c>
      <c r="L75" s="75">
        <f t="shared" si="25"/>
        <v>402</v>
      </c>
    </row>
    <row r="76" spans="2:12" x14ac:dyDescent="0.25">
      <c r="B76" s="380"/>
      <c r="C76" s="381"/>
      <c r="D76" s="189" t="s">
        <v>59</v>
      </c>
      <c r="E76" s="126"/>
      <c r="F76" s="126"/>
      <c r="G76" s="126"/>
      <c r="H76" s="126"/>
      <c r="I76" s="126"/>
      <c r="J76" s="126"/>
      <c r="K76" s="126"/>
      <c r="L76" s="75">
        <f t="shared" si="25"/>
        <v>0</v>
      </c>
    </row>
    <row r="77" spans="2:12" x14ac:dyDescent="0.25">
      <c r="B77" s="380"/>
      <c r="C77" s="381"/>
      <c r="D77" s="189" t="s">
        <v>60</v>
      </c>
      <c r="E77" s="126"/>
      <c r="F77" s="126"/>
      <c r="G77" s="126"/>
      <c r="H77" s="126"/>
      <c r="I77" s="126"/>
      <c r="J77" s="126"/>
      <c r="K77" s="126"/>
      <c r="L77" s="75">
        <f t="shared" si="25"/>
        <v>0</v>
      </c>
    </row>
    <row r="78" spans="2:12" x14ac:dyDescent="0.25">
      <c r="B78" s="380"/>
      <c r="C78" s="381"/>
      <c r="D78" s="189" t="s">
        <v>61</v>
      </c>
      <c r="E78" s="126"/>
      <c r="F78" s="126"/>
      <c r="G78" s="126"/>
      <c r="H78" s="126"/>
      <c r="I78" s="126"/>
      <c r="J78" s="126"/>
      <c r="K78" s="126"/>
      <c r="L78" s="75">
        <f t="shared" si="25"/>
        <v>0</v>
      </c>
    </row>
    <row r="79" spans="2:12" x14ac:dyDescent="0.25">
      <c r="B79" s="380"/>
      <c r="C79" s="381"/>
      <c r="D79" s="189" t="s">
        <v>62</v>
      </c>
      <c r="E79" s="129">
        <f>3+1+5</f>
        <v>9</v>
      </c>
      <c r="F79" s="126"/>
      <c r="G79" s="126"/>
      <c r="H79" s="126"/>
      <c r="I79" s="126"/>
      <c r="J79" s="129">
        <f>12+24</f>
        <v>36</v>
      </c>
      <c r="K79" s="126"/>
      <c r="L79" s="75">
        <f t="shared" si="25"/>
        <v>45</v>
      </c>
    </row>
    <row r="80" spans="2:12" x14ac:dyDescent="0.25">
      <c r="B80" s="380"/>
      <c r="C80" s="381"/>
      <c r="D80" s="189" t="s">
        <v>63</v>
      </c>
      <c r="E80" s="126"/>
      <c r="F80" s="126"/>
      <c r="G80" s="126"/>
      <c r="H80" s="126"/>
      <c r="I80" s="126"/>
      <c r="J80" s="126"/>
      <c r="K80" s="126"/>
      <c r="L80" s="75">
        <f t="shared" si="25"/>
        <v>0</v>
      </c>
    </row>
    <row r="81" spans="2:12" x14ac:dyDescent="0.25">
      <c r="B81" s="380"/>
      <c r="C81" s="381"/>
      <c r="D81" s="189" t="s">
        <v>64</v>
      </c>
      <c r="E81" s="129">
        <f>64+81</f>
        <v>145</v>
      </c>
      <c r="F81" s="123"/>
      <c r="G81" s="123"/>
      <c r="H81" s="123"/>
      <c r="I81" s="123"/>
      <c r="J81" s="123"/>
      <c r="K81" s="123"/>
      <c r="L81" s="75">
        <f t="shared" si="25"/>
        <v>145</v>
      </c>
    </row>
    <row r="82" spans="2:12" x14ac:dyDescent="0.25">
      <c r="B82" s="380"/>
      <c r="C82" s="381"/>
      <c r="D82" s="189" t="s">
        <v>65</v>
      </c>
      <c r="E82" s="126"/>
      <c r="F82" s="126"/>
      <c r="G82" s="126"/>
      <c r="H82" s="126"/>
      <c r="I82" s="126"/>
      <c r="J82" s="126"/>
      <c r="K82" s="126"/>
      <c r="L82" s="75">
        <f t="shared" si="25"/>
        <v>0</v>
      </c>
    </row>
    <row r="83" spans="2:12" x14ac:dyDescent="0.25">
      <c r="B83" s="380"/>
      <c r="C83" s="381"/>
      <c r="D83" s="189" t="s">
        <v>66</v>
      </c>
      <c r="E83" s="126"/>
      <c r="F83" s="126"/>
      <c r="G83" s="126"/>
      <c r="H83" s="126"/>
      <c r="I83" s="126"/>
      <c r="J83" s="126"/>
      <c r="K83" s="126"/>
      <c r="L83" s="75">
        <f t="shared" si="25"/>
        <v>0</v>
      </c>
    </row>
    <row r="84" spans="2:12" x14ac:dyDescent="0.25">
      <c r="B84" s="380"/>
      <c r="C84" s="381"/>
      <c r="D84" s="189" t="s">
        <v>67</v>
      </c>
      <c r="E84" s="222"/>
      <c r="F84" s="222"/>
      <c r="G84" s="222"/>
      <c r="H84" s="222"/>
      <c r="I84" s="222"/>
      <c r="J84" s="222"/>
      <c r="K84" s="222"/>
      <c r="L84" s="75">
        <f t="shared" si="25"/>
        <v>0</v>
      </c>
    </row>
    <row r="85" spans="2:12" x14ac:dyDescent="0.25">
      <c r="B85" s="377" t="s">
        <v>15</v>
      </c>
      <c r="C85" s="378"/>
      <c r="D85" s="379"/>
      <c r="E85" s="250">
        <f>SUM(E73:E84)</f>
        <v>494</v>
      </c>
      <c r="F85" s="250">
        <f t="shared" ref="F85" si="26">SUM(F73:F84)</f>
        <v>0</v>
      </c>
      <c r="G85" s="250">
        <f t="shared" ref="G85" si="27">SUM(G73:G84)</f>
        <v>0</v>
      </c>
      <c r="H85" s="250">
        <f t="shared" ref="H85" si="28">SUM(H73:H84)</f>
        <v>0</v>
      </c>
      <c r="I85" s="250">
        <f t="shared" ref="I85" si="29">SUM(I73:I84)</f>
        <v>0</v>
      </c>
      <c r="J85" s="250">
        <f t="shared" ref="J85" si="30">SUM(J73:J84)</f>
        <v>36</v>
      </c>
      <c r="K85" s="250">
        <f t="shared" ref="K85" si="31">SUM(K73:K84)</f>
        <v>63</v>
      </c>
      <c r="L85" s="275">
        <f t="shared" si="25"/>
        <v>593</v>
      </c>
    </row>
    <row r="86" spans="2:12" x14ac:dyDescent="0.25">
      <c r="B86" s="380">
        <v>7</v>
      </c>
      <c r="C86" s="381" t="s">
        <v>18</v>
      </c>
      <c r="D86" s="189" t="s">
        <v>56</v>
      </c>
      <c r="E86" s="208">
        <f>17+57+631</f>
        <v>705</v>
      </c>
      <c r="F86" s="207"/>
      <c r="G86" s="207"/>
      <c r="H86" s="207"/>
      <c r="I86" s="207"/>
      <c r="J86" s="208">
        <f>78+190+2150</f>
        <v>2418</v>
      </c>
      <c r="K86" s="207"/>
      <c r="L86" s="75">
        <f t="shared" si="25"/>
        <v>3123</v>
      </c>
    </row>
    <row r="87" spans="2:12" x14ac:dyDescent="0.25">
      <c r="B87" s="380"/>
      <c r="C87" s="381"/>
      <c r="D87" s="189" t="s">
        <v>57</v>
      </c>
      <c r="E87" s="126"/>
      <c r="F87" s="126"/>
      <c r="G87" s="126"/>
      <c r="H87" s="126"/>
      <c r="I87" s="126"/>
      <c r="J87" s="126"/>
      <c r="K87" s="126"/>
      <c r="L87" s="75">
        <f t="shared" si="25"/>
        <v>0</v>
      </c>
    </row>
    <row r="88" spans="2:12" x14ac:dyDescent="0.25">
      <c r="B88" s="380"/>
      <c r="C88" s="381"/>
      <c r="D88" s="189" t="s">
        <v>58</v>
      </c>
      <c r="E88" s="129">
        <f>17+1</f>
        <v>18</v>
      </c>
      <c r="F88" s="126"/>
      <c r="G88" s="129">
        <v>1</v>
      </c>
      <c r="H88" s="126"/>
      <c r="I88" s="126"/>
      <c r="J88" s="129">
        <v>3</v>
      </c>
      <c r="K88" s="126"/>
      <c r="L88" s="75">
        <f t="shared" si="25"/>
        <v>22</v>
      </c>
    </row>
    <row r="89" spans="2:12" x14ac:dyDescent="0.25">
      <c r="B89" s="380"/>
      <c r="C89" s="381"/>
      <c r="D89" s="189" t="s">
        <v>59</v>
      </c>
      <c r="E89" s="126"/>
      <c r="F89" s="126"/>
      <c r="G89" s="126"/>
      <c r="H89" s="126"/>
      <c r="I89" s="126"/>
      <c r="J89" s="126"/>
      <c r="K89" s="126"/>
      <c r="L89" s="75">
        <f t="shared" si="25"/>
        <v>0</v>
      </c>
    </row>
    <row r="90" spans="2:12" x14ac:dyDescent="0.25">
      <c r="B90" s="380"/>
      <c r="C90" s="381"/>
      <c r="D90" s="189" t="s">
        <v>60</v>
      </c>
      <c r="E90" s="126"/>
      <c r="F90" s="126"/>
      <c r="G90" s="126"/>
      <c r="H90" s="126"/>
      <c r="I90" s="126"/>
      <c r="J90" s="126"/>
      <c r="K90" s="126"/>
      <c r="L90" s="75">
        <f t="shared" si="25"/>
        <v>0</v>
      </c>
    </row>
    <row r="91" spans="2:12" x14ac:dyDescent="0.25">
      <c r="B91" s="380"/>
      <c r="C91" s="381"/>
      <c r="D91" s="189" t="s">
        <v>61</v>
      </c>
      <c r="E91" s="126"/>
      <c r="F91" s="126"/>
      <c r="G91" s="126"/>
      <c r="H91" s="126"/>
      <c r="I91" s="126"/>
      <c r="J91" s="126"/>
      <c r="K91" s="126"/>
      <c r="L91" s="75">
        <f t="shared" si="25"/>
        <v>0</v>
      </c>
    </row>
    <row r="92" spans="2:12" x14ac:dyDescent="0.25">
      <c r="B92" s="380"/>
      <c r="C92" s="381"/>
      <c r="D92" s="189" t="s">
        <v>62</v>
      </c>
      <c r="E92" s="126"/>
      <c r="F92" s="126"/>
      <c r="G92" s="126"/>
      <c r="H92" s="126"/>
      <c r="I92" s="126"/>
      <c r="J92" s="126"/>
      <c r="K92" s="126"/>
      <c r="L92" s="75">
        <f t="shared" si="25"/>
        <v>0</v>
      </c>
    </row>
    <row r="93" spans="2:12" x14ac:dyDescent="0.25">
      <c r="B93" s="380"/>
      <c r="C93" s="381"/>
      <c r="D93" s="189" t="s">
        <v>63</v>
      </c>
      <c r="E93" s="129">
        <f>3+17</f>
        <v>20</v>
      </c>
      <c r="F93" s="123"/>
      <c r="G93" s="123"/>
      <c r="H93" s="123"/>
      <c r="I93" s="123"/>
      <c r="J93" s="129">
        <v>78</v>
      </c>
      <c r="K93" s="123"/>
      <c r="L93" s="75">
        <f t="shared" si="25"/>
        <v>98</v>
      </c>
    </row>
    <row r="94" spans="2:12" x14ac:dyDescent="0.25">
      <c r="B94" s="380"/>
      <c r="C94" s="381"/>
      <c r="D94" s="189" t="s">
        <v>64</v>
      </c>
      <c r="E94" s="126"/>
      <c r="F94" s="126"/>
      <c r="G94" s="126"/>
      <c r="H94" s="126"/>
      <c r="I94" s="126"/>
      <c r="J94" s="126"/>
      <c r="K94" s="126"/>
      <c r="L94" s="75">
        <f t="shared" si="25"/>
        <v>0</v>
      </c>
    </row>
    <row r="95" spans="2:12" x14ac:dyDescent="0.25">
      <c r="B95" s="380"/>
      <c r="C95" s="381"/>
      <c r="D95" s="189" t="s">
        <v>65</v>
      </c>
      <c r="E95" s="126"/>
      <c r="F95" s="126"/>
      <c r="G95" s="126"/>
      <c r="H95" s="126"/>
      <c r="I95" s="126"/>
      <c r="J95" s="126"/>
      <c r="K95" s="126"/>
      <c r="L95" s="75">
        <f t="shared" si="25"/>
        <v>0</v>
      </c>
    </row>
    <row r="96" spans="2:12" x14ac:dyDescent="0.25">
      <c r="B96" s="380"/>
      <c r="C96" s="381"/>
      <c r="D96" s="189" t="s">
        <v>66</v>
      </c>
      <c r="E96" s="129">
        <v>1</v>
      </c>
      <c r="F96" s="126"/>
      <c r="G96" s="126"/>
      <c r="H96" s="126"/>
      <c r="I96" s="126"/>
      <c r="J96" s="126"/>
      <c r="K96" s="126"/>
      <c r="L96" s="75">
        <f t="shared" si="25"/>
        <v>1</v>
      </c>
    </row>
    <row r="97" spans="2:12" x14ac:dyDescent="0.25">
      <c r="B97" s="380"/>
      <c r="C97" s="381"/>
      <c r="D97" s="189" t="s">
        <v>67</v>
      </c>
      <c r="E97" s="223">
        <v>15315</v>
      </c>
      <c r="F97" s="222"/>
      <c r="G97" s="222"/>
      <c r="H97" s="222"/>
      <c r="I97" s="222"/>
      <c r="J97" s="223">
        <v>52898</v>
      </c>
      <c r="K97" s="222"/>
      <c r="L97" s="75">
        <f t="shared" si="25"/>
        <v>68213</v>
      </c>
    </row>
    <row r="98" spans="2:12" x14ac:dyDescent="0.25">
      <c r="B98" s="377" t="s">
        <v>15</v>
      </c>
      <c r="C98" s="378"/>
      <c r="D98" s="379"/>
      <c r="E98" s="250">
        <f>SUM(E86:E97)</f>
        <v>16059</v>
      </c>
      <c r="F98" s="250">
        <f t="shared" ref="F98" si="32">SUM(F86:F97)</f>
        <v>0</v>
      </c>
      <c r="G98" s="250">
        <f t="shared" ref="G98" si="33">SUM(G86:G97)</f>
        <v>1</v>
      </c>
      <c r="H98" s="250">
        <f t="shared" ref="H98" si="34">SUM(H86:H97)</f>
        <v>0</v>
      </c>
      <c r="I98" s="250">
        <f t="shared" ref="I98" si="35">SUM(I86:I97)</f>
        <v>0</v>
      </c>
      <c r="J98" s="250">
        <f t="shared" ref="J98" si="36">SUM(J86:J97)</f>
        <v>55397</v>
      </c>
      <c r="K98" s="250">
        <f t="shared" ref="K98" si="37">SUM(K86:K97)</f>
        <v>0</v>
      </c>
      <c r="L98" s="275">
        <f t="shared" si="25"/>
        <v>71457</v>
      </c>
    </row>
    <row r="99" spans="2:12" x14ac:dyDescent="0.25">
      <c r="B99" s="380">
        <v>8</v>
      </c>
      <c r="C99" s="381" t="s">
        <v>24</v>
      </c>
      <c r="D99" s="189" t="s">
        <v>56</v>
      </c>
      <c r="E99" s="208">
        <v>66</v>
      </c>
      <c r="F99" s="207"/>
      <c r="G99" s="207"/>
      <c r="H99" s="207"/>
      <c r="I99" s="207"/>
      <c r="J99" s="208">
        <v>8</v>
      </c>
      <c r="K99" s="207"/>
      <c r="L99" s="75">
        <f t="shared" si="25"/>
        <v>74</v>
      </c>
    </row>
    <row r="100" spans="2:12" x14ac:dyDescent="0.25">
      <c r="B100" s="380"/>
      <c r="C100" s="381"/>
      <c r="D100" s="189" t="s">
        <v>57</v>
      </c>
      <c r="E100" s="126"/>
      <c r="F100" s="126"/>
      <c r="G100" s="126"/>
      <c r="H100" s="126"/>
      <c r="I100" s="126"/>
      <c r="J100" s="126"/>
      <c r="K100" s="126"/>
      <c r="L100" s="75">
        <f t="shared" si="25"/>
        <v>0</v>
      </c>
    </row>
    <row r="101" spans="2:12" x14ac:dyDescent="0.25">
      <c r="B101" s="380"/>
      <c r="C101" s="381"/>
      <c r="D101" s="189" t="s">
        <v>58</v>
      </c>
      <c r="E101" s="126"/>
      <c r="F101" s="126"/>
      <c r="G101" s="126"/>
      <c r="H101" s="126"/>
      <c r="I101" s="126"/>
      <c r="J101" s="126"/>
      <c r="K101" s="126"/>
      <c r="L101" s="75">
        <f t="shared" si="25"/>
        <v>0</v>
      </c>
    </row>
    <row r="102" spans="2:12" x14ac:dyDescent="0.25">
      <c r="B102" s="380"/>
      <c r="C102" s="381"/>
      <c r="D102" s="189" t="s">
        <v>59</v>
      </c>
      <c r="E102" s="126"/>
      <c r="F102" s="126"/>
      <c r="G102" s="126"/>
      <c r="H102" s="126"/>
      <c r="I102" s="126"/>
      <c r="J102" s="126"/>
      <c r="K102" s="126"/>
      <c r="L102" s="75">
        <f t="shared" si="25"/>
        <v>0</v>
      </c>
    </row>
    <row r="103" spans="2:12" x14ac:dyDescent="0.25">
      <c r="B103" s="380"/>
      <c r="C103" s="381"/>
      <c r="D103" s="189" t="s">
        <v>60</v>
      </c>
      <c r="E103" s="126"/>
      <c r="F103" s="126"/>
      <c r="G103" s="126"/>
      <c r="H103" s="126"/>
      <c r="I103" s="126"/>
      <c r="J103" s="126"/>
      <c r="K103" s="126"/>
      <c r="L103" s="75">
        <f t="shared" si="25"/>
        <v>0</v>
      </c>
    </row>
    <row r="104" spans="2:12" x14ac:dyDescent="0.25">
      <c r="B104" s="380"/>
      <c r="C104" s="381"/>
      <c r="D104" s="189" t="s">
        <v>61</v>
      </c>
      <c r="E104" s="126"/>
      <c r="F104" s="126"/>
      <c r="G104" s="126"/>
      <c r="H104" s="126"/>
      <c r="I104" s="126"/>
      <c r="J104" s="126"/>
      <c r="K104" s="126"/>
      <c r="L104" s="75">
        <f t="shared" si="25"/>
        <v>0</v>
      </c>
    </row>
    <row r="105" spans="2:12" x14ac:dyDescent="0.25">
      <c r="B105" s="380"/>
      <c r="C105" s="381"/>
      <c r="D105" s="189" t="s">
        <v>62</v>
      </c>
      <c r="E105" s="129">
        <f>2+2+7+3</f>
        <v>14</v>
      </c>
      <c r="F105" s="129">
        <v>1</v>
      </c>
      <c r="G105" s="126"/>
      <c r="H105" s="126"/>
      <c r="I105" s="126"/>
      <c r="J105" s="155">
        <v>5</v>
      </c>
      <c r="K105" s="126"/>
      <c r="L105" s="75">
        <f t="shared" si="25"/>
        <v>20</v>
      </c>
    </row>
    <row r="106" spans="2:12" x14ac:dyDescent="0.25">
      <c r="B106" s="380"/>
      <c r="C106" s="381"/>
      <c r="D106" s="189" t="s">
        <v>63</v>
      </c>
      <c r="E106" s="129">
        <f>7+5+10</f>
        <v>22</v>
      </c>
      <c r="F106" s="126"/>
      <c r="G106" s="126"/>
      <c r="H106" s="126"/>
      <c r="I106" s="126"/>
      <c r="J106" s="129">
        <v>4</v>
      </c>
      <c r="K106" s="126"/>
      <c r="L106" s="75">
        <f t="shared" si="25"/>
        <v>26</v>
      </c>
    </row>
    <row r="107" spans="2:12" x14ac:dyDescent="0.25">
      <c r="B107" s="380"/>
      <c r="C107" s="381"/>
      <c r="D107" s="189" t="s">
        <v>64</v>
      </c>
      <c r="E107" s="129">
        <v>4</v>
      </c>
      <c r="F107" s="126"/>
      <c r="G107" s="126"/>
      <c r="H107" s="126"/>
      <c r="I107" s="126"/>
      <c r="J107" s="126"/>
      <c r="K107" s="126"/>
      <c r="L107" s="75">
        <f t="shared" si="25"/>
        <v>4</v>
      </c>
    </row>
    <row r="108" spans="2:12" x14ac:dyDescent="0.25">
      <c r="B108" s="380"/>
      <c r="C108" s="381"/>
      <c r="D108" s="189" t="s">
        <v>65</v>
      </c>
      <c r="E108" s="126"/>
      <c r="F108" s="126"/>
      <c r="G108" s="126"/>
      <c r="H108" s="126"/>
      <c r="I108" s="126"/>
      <c r="J108" s="126"/>
      <c r="K108" s="126"/>
      <c r="L108" s="75">
        <f t="shared" si="25"/>
        <v>0</v>
      </c>
    </row>
    <row r="109" spans="2:12" x14ac:dyDescent="0.25">
      <c r="B109" s="380"/>
      <c r="C109" s="381"/>
      <c r="D109" s="189" t="s">
        <v>66</v>
      </c>
      <c r="E109" s="126"/>
      <c r="F109" s="126"/>
      <c r="G109" s="126"/>
      <c r="H109" s="126"/>
      <c r="I109" s="126"/>
      <c r="J109" s="126"/>
      <c r="K109" s="126"/>
      <c r="L109" s="75">
        <f t="shared" si="25"/>
        <v>0</v>
      </c>
    </row>
    <row r="110" spans="2:12" x14ac:dyDescent="0.25">
      <c r="B110" s="380"/>
      <c r="C110" s="381"/>
      <c r="D110" s="189" t="s">
        <v>67</v>
      </c>
      <c r="E110" s="222"/>
      <c r="F110" s="222"/>
      <c r="G110" s="222"/>
      <c r="H110" s="222"/>
      <c r="I110" s="222"/>
      <c r="J110" s="223">
        <f>24582+33814</f>
        <v>58396</v>
      </c>
      <c r="K110" s="222"/>
      <c r="L110" s="75">
        <f t="shared" si="25"/>
        <v>58396</v>
      </c>
    </row>
    <row r="111" spans="2:12" x14ac:dyDescent="0.25">
      <c r="B111" s="377" t="s">
        <v>15</v>
      </c>
      <c r="C111" s="378"/>
      <c r="D111" s="379"/>
      <c r="E111" s="250">
        <f>SUM(E99:E110)</f>
        <v>106</v>
      </c>
      <c r="F111" s="250">
        <f t="shared" ref="F111" si="38">SUM(F99:F110)</f>
        <v>1</v>
      </c>
      <c r="G111" s="250">
        <f t="shared" ref="G111" si="39">SUM(G99:G110)</f>
        <v>0</v>
      </c>
      <c r="H111" s="250">
        <f t="shared" ref="H111" si="40">SUM(H99:H110)</f>
        <v>0</v>
      </c>
      <c r="I111" s="250">
        <f t="shared" ref="I111" si="41">SUM(I99:I110)</f>
        <v>0</v>
      </c>
      <c r="J111" s="250">
        <f t="shared" ref="J111" si="42">SUM(J99:J110)</f>
        <v>58413</v>
      </c>
      <c r="K111" s="250">
        <f t="shared" ref="K111" si="43">SUM(K99:K110)</f>
        <v>0</v>
      </c>
      <c r="L111" s="275">
        <f t="shared" si="25"/>
        <v>58520</v>
      </c>
    </row>
    <row r="112" spans="2:12" x14ac:dyDescent="0.25">
      <c r="B112" s="380">
        <v>9</v>
      </c>
      <c r="C112" s="381" t="s">
        <v>25</v>
      </c>
      <c r="D112" s="189" t="s">
        <v>56</v>
      </c>
      <c r="E112" s="207"/>
      <c r="F112" s="207"/>
      <c r="G112" s="207"/>
      <c r="H112" s="207"/>
      <c r="I112" s="207"/>
      <c r="J112" s="207"/>
      <c r="K112" s="207"/>
      <c r="L112" s="75">
        <f t="shared" si="25"/>
        <v>0</v>
      </c>
    </row>
    <row r="113" spans="2:12" x14ac:dyDescent="0.25">
      <c r="B113" s="380"/>
      <c r="C113" s="381"/>
      <c r="D113" s="189" t="s">
        <v>57</v>
      </c>
      <c r="E113" s="126"/>
      <c r="F113" s="126"/>
      <c r="G113" s="126"/>
      <c r="H113" s="126"/>
      <c r="I113" s="126"/>
      <c r="J113" s="126"/>
      <c r="K113" s="126"/>
      <c r="L113" s="75">
        <f t="shared" si="25"/>
        <v>0</v>
      </c>
    </row>
    <row r="114" spans="2:12" x14ac:dyDescent="0.25">
      <c r="B114" s="380"/>
      <c r="C114" s="381"/>
      <c r="D114" s="189" t="s">
        <v>58</v>
      </c>
      <c r="E114" s="126"/>
      <c r="F114" s="126"/>
      <c r="G114" s="126"/>
      <c r="H114" s="126"/>
      <c r="I114" s="126"/>
      <c r="J114" s="126"/>
      <c r="K114" s="126"/>
      <c r="L114" s="75">
        <f t="shared" si="25"/>
        <v>0</v>
      </c>
    </row>
    <row r="115" spans="2:12" x14ac:dyDescent="0.25">
      <c r="B115" s="380"/>
      <c r="C115" s="381"/>
      <c r="D115" s="189" t="s">
        <v>59</v>
      </c>
      <c r="E115" s="126"/>
      <c r="F115" s="126"/>
      <c r="G115" s="126"/>
      <c r="H115" s="126"/>
      <c r="I115" s="126"/>
      <c r="J115" s="126"/>
      <c r="K115" s="126"/>
      <c r="L115" s="75">
        <f t="shared" si="25"/>
        <v>0</v>
      </c>
    </row>
    <row r="116" spans="2:12" x14ac:dyDescent="0.25">
      <c r="B116" s="380"/>
      <c r="C116" s="381"/>
      <c r="D116" s="189" t="s">
        <v>60</v>
      </c>
      <c r="E116" s="126"/>
      <c r="F116" s="126"/>
      <c r="G116" s="126"/>
      <c r="H116" s="126"/>
      <c r="I116" s="126"/>
      <c r="J116" s="126"/>
      <c r="K116" s="126"/>
      <c r="L116" s="75">
        <f t="shared" si="25"/>
        <v>0</v>
      </c>
    </row>
    <row r="117" spans="2:12" x14ac:dyDescent="0.25">
      <c r="B117" s="380"/>
      <c r="C117" s="381"/>
      <c r="D117" s="189" t="s">
        <v>61</v>
      </c>
      <c r="E117" s="126"/>
      <c r="F117" s="126"/>
      <c r="G117" s="126"/>
      <c r="H117" s="126"/>
      <c r="I117" s="126"/>
      <c r="J117" s="126"/>
      <c r="K117" s="126"/>
      <c r="L117" s="75">
        <f t="shared" si="25"/>
        <v>0</v>
      </c>
    </row>
    <row r="118" spans="2:12" x14ac:dyDescent="0.25">
      <c r="B118" s="380"/>
      <c r="C118" s="381"/>
      <c r="D118" s="189" t="s">
        <v>62</v>
      </c>
      <c r="E118" s="129">
        <f>3+2+4+7+2</f>
        <v>18</v>
      </c>
      <c r="F118" s="123"/>
      <c r="G118" s="129">
        <f>1+2+2</f>
        <v>5</v>
      </c>
      <c r="H118" s="123"/>
      <c r="I118" s="123"/>
      <c r="J118" s="129">
        <f>1+1</f>
        <v>2</v>
      </c>
      <c r="K118" s="123"/>
      <c r="L118" s="75">
        <f t="shared" si="25"/>
        <v>25</v>
      </c>
    </row>
    <row r="119" spans="2:12" x14ac:dyDescent="0.25">
      <c r="B119" s="380"/>
      <c r="C119" s="381"/>
      <c r="D119" s="189" t="s">
        <v>63</v>
      </c>
      <c r="E119" s="129">
        <f>3+3+2+1</f>
        <v>9</v>
      </c>
      <c r="F119" s="126"/>
      <c r="G119" s="126"/>
      <c r="H119" s="126"/>
      <c r="I119" s="126"/>
      <c r="J119" s="129">
        <f>1+3+73</f>
        <v>77</v>
      </c>
      <c r="K119" s="126"/>
      <c r="L119" s="75">
        <f t="shared" si="25"/>
        <v>86</v>
      </c>
    </row>
    <row r="120" spans="2:12" x14ac:dyDescent="0.25">
      <c r="B120" s="380"/>
      <c r="C120" s="381"/>
      <c r="D120" s="189" t="s">
        <v>64</v>
      </c>
      <c r="E120" s="129">
        <v>6</v>
      </c>
      <c r="F120" s="126"/>
      <c r="G120" s="126"/>
      <c r="H120" s="126"/>
      <c r="I120" s="126"/>
      <c r="J120" s="129">
        <v>1</v>
      </c>
      <c r="K120" s="126"/>
      <c r="L120" s="75">
        <f t="shared" si="25"/>
        <v>7</v>
      </c>
    </row>
    <row r="121" spans="2:12" x14ac:dyDescent="0.25">
      <c r="B121" s="380"/>
      <c r="C121" s="381"/>
      <c r="D121" s="189" t="s">
        <v>65</v>
      </c>
      <c r="E121" s="126"/>
      <c r="F121" s="126"/>
      <c r="G121" s="126"/>
      <c r="H121" s="126"/>
      <c r="I121" s="126"/>
      <c r="J121" s="126"/>
      <c r="K121" s="126"/>
      <c r="L121" s="75">
        <f t="shared" si="25"/>
        <v>0</v>
      </c>
    </row>
    <row r="122" spans="2:12" x14ac:dyDescent="0.25">
      <c r="B122" s="380"/>
      <c r="C122" s="381"/>
      <c r="D122" s="189" t="s">
        <v>66</v>
      </c>
      <c r="E122" s="126"/>
      <c r="F122" s="126"/>
      <c r="G122" s="126"/>
      <c r="H122" s="126"/>
      <c r="I122" s="126"/>
      <c r="J122" s="126"/>
      <c r="K122" s="126"/>
      <c r="L122" s="75">
        <f t="shared" si="25"/>
        <v>0</v>
      </c>
    </row>
    <row r="123" spans="2:12" x14ac:dyDescent="0.25">
      <c r="B123" s="380"/>
      <c r="C123" s="381"/>
      <c r="D123" s="189" t="s">
        <v>67</v>
      </c>
      <c r="E123" s="222"/>
      <c r="F123" s="222"/>
      <c r="G123" s="222"/>
      <c r="H123" s="222"/>
      <c r="I123" s="222"/>
      <c r="J123" s="222"/>
      <c r="K123" s="222"/>
      <c r="L123" s="75">
        <f t="shared" si="25"/>
        <v>0</v>
      </c>
    </row>
    <row r="124" spans="2:12" x14ac:dyDescent="0.25">
      <c r="B124" s="377" t="s">
        <v>15</v>
      </c>
      <c r="C124" s="378"/>
      <c r="D124" s="379"/>
      <c r="E124" s="250">
        <f>SUM(E112:E123)</f>
        <v>33</v>
      </c>
      <c r="F124" s="250">
        <f t="shared" ref="F124" si="44">SUM(F112:F123)</f>
        <v>0</v>
      </c>
      <c r="G124" s="250">
        <f t="shared" ref="G124" si="45">SUM(G112:G123)</f>
        <v>5</v>
      </c>
      <c r="H124" s="250">
        <f t="shared" ref="H124" si="46">SUM(H112:H123)</f>
        <v>0</v>
      </c>
      <c r="I124" s="250">
        <f t="shared" ref="I124" si="47">SUM(I112:I123)</f>
        <v>0</v>
      </c>
      <c r="J124" s="250">
        <f t="shared" ref="J124" si="48">SUM(J112:J123)</f>
        <v>80</v>
      </c>
      <c r="K124" s="250">
        <f t="shared" ref="K124" si="49">SUM(K112:K123)</f>
        <v>0</v>
      </c>
      <c r="L124" s="275">
        <f t="shared" si="25"/>
        <v>118</v>
      </c>
    </row>
    <row r="125" spans="2:12" x14ac:dyDescent="0.25">
      <c r="B125" s="380">
        <v>10</v>
      </c>
      <c r="C125" s="381" t="s">
        <v>26</v>
      </c>
      <c r="D125" s="189" t="s">
        <v>56</v>
      </c>
      <c r="E125" s="208">
        <v>1311</v>
      </c>
      <c r="F125" s="207"/>
      <c r="G125" s="207"/>
      <c r="H125" s="207"/>
      <c r="I125" s="207"/>
      <c r="J125" s="208">
        <v>3373</v>
      </c>
      <c r="K125" s="207"/>
      <c r="L125" s="75">
        <f t="shared" si="25"/>
        <v>4684</v>
      </c>
    </row>
    <row r="126" spans="2:12" x14ac:dyDescent="0.25">
      <c r="B126" s="380"/>
      <c r="C126" s="381"/>
      <c r="D126" s="189" t="s">
        <v>57</v>
      </c>
      <c r="E126" s="126"/>
      <c r="F126" s="126"/>
      <c r="G126" s="126"/>
      <c r="H126" s="126"/>
      <c r="I126" s="126"/>
      <c r="J126" s="126"/>
      <c r="K126" s="126"/>
      <c r="L126" s="75">
        <f t="shared" si="25"/>
        <v>0</v>
      </c>
    </row>
    <row r="127" spans="2:12" x14ac:dyDescent="0.25">
      <c r="B127" s="380"/>
      <c r="C127" s="381"/>
      <c r="D127" s="189" t="s">
        <v>58</v>
      </c>
      <c r="E127" s="123"/>
      <c r="F127" s="123"/>
      <c r="G127" s="123"/>
      <c r="H127" s="123"/>
      <c r="I127" s="123"/>
      <c r="J127" s="123"/>
      <c r="K127" s="123"/>
      <c r="L127" s="75">
        <f t="shared" si="25"/>
        <v>0</v>
      </c>
    </row>
    <row r="128" spans="2:12" x14ac:dyDescent="0.25">
      <c r="B128" s="380"/>
      <c r="C128" s="381"/>
      <c r="D128" s="189" t="s">
        <v>59</v>
      </c>
      <c r="E128" s="126"/>
      <c r="F128" s="126"/>
      <c r="G128" s="126"/>
      <c r="H128" s="126"/>
      <c r="I128" s="126"/>
      <c r="J128" s="126"/>
      <c r="K128" s="126"/>
      <c r="L128" s="75">
        <f t="shared" si="25"/>
        <v>0</v>
      </c>
    </row>
    <row r="129" spans="2:12" x14ac:dyDescent="0.25">
      <c r="B129" s="380"/>
      <c r="C129" s="381"/>
      <c r="D129" s="189" t="s">
        <v>60</v>
      </c>
      <c r="E129" s="126"/>
      <c r="F129" s="126"/>
      <c r="G129" s="126"/>
      <c r="H129" s="126"/>
      <c r="I129" s="126"/>
      <c r="J129" s="126"/>
      <c r="K129" s="126"/>
      <c r="L129" s="75">
        <f t="shared" si="25"/>
        <v>0</v>
      </c>
    </row>
    <row r="130" spans="2:12" x14ac:dyDescent="0.25">
      <c r="B130" s="380"/>
      <c r="C130" s="381"/>
      <c r="D130" s="189" t="s">
        <v>61</v>
      </c>
      <c r="E130" s="126"/>
      <c r="F130" s="126"/>
      <c r="G130" s="126"/>
      <c r="H130" s="126"/>
      <c r="I130" s="126"/>
      <c r="J130" s="126"/>
      <c r="K130" s="126"/>
      <c r="L130" s="75">
        <f t="shared" si="25"/>
        <v>0</v>
      </c>
    </row>
    <row r="131" spans="2:12" x14ac:dyDescent="0.25">
      <c r="B131" s="380"/>
      <c r="C131" s="381"/>
      <c r="D131" s="189" t="s">
        <v>62</v>
      </c>
      <c r="E131" s="129">
        <f>3+4+3+5+6+1</f>
        <v>22</v>
      </c>
      <c r="F131" s="126"/>
      <c r="G131" s="126"/>
      <c r="H131" s="126"/>
      <c r="I131" s="126"/>
      <c r="J131" s="129">
        <f>10+16+2+8+3+15+9</f>
        <v>63</v>
      </c>
      <c r="K131" s="126"/>
      <c r="L131" s="75">
        <f t="shared" si="25"/>
        <v>85</v>
      </c>
    </row>
    <row r="132" spans="2:12" x14ac:dyDescent="0.25">
      <c r="B132" s="380"/>
      <c r="C132" s="381"/>
      <c r="D132" s="189" t="s">
        <v>63</v>
      </c>
      <c r="E132" s="129">
        <f>19+1+1+177+52</f>
        <v>250</v>
      </c>
      <c r="F132" s="123"/>
      <c r="G132" s="123"/>
      <c r="H132" s="123"/>
      <c r="I132" s="123"/>
      <c r="J132" s="129">
        <f>61+5+4+431+19</f>
        <v>520</v>
      </c>
      <c r="K132" s="123"/>
      <c r="L132" s="75">
        <f t="shared" si="25"/>
        <v>770</v>
      </c>
    </row>
    <row r="133" spans="2:12" x14ac:dyDescent="0.25">
      <c r="B133" s="380"/>
      <c r="C133" s="381"/>
      <c r="D133" s="189" t="s">
        <v>64</v>
      </c>
      <c r="E133" s="126"/>
      <c r="F133" s="126"/>
      <c r="G133" s="126"/>
      <c r="H133" s="126"/>
      <c r="I133" s="126"/>
      <c r="J133" s="126"/>
      <c r="K133" s="126"/>
      <c r="L133" s="75">
        <f t="shared" si="25"/>
        <v>0</v>
      </c>
    </row>
    <row r="134" spans="2:12" x14ac:dyDescent="0.25">
      <c r="B134" s="380"/>
      <c r="C134" s="381"/>
      <c r="D134" s="189" t="s">
        <v>65</v>
      </c>
      <c r="E134" s="126"/>
      <c r="F134" s="126"/>
      <c r="G134" s="126"/>
      <c r="H134" s="126"/>
      <c r="I134" s="126"/>
      <c r="J134" s="126"/>
      <c r="K134" s="126"/>
      <c r="L134" s="75">
        <f t="shared" si="25"/>
        <v>0</v>
      </c>
    </row>
    <row r="135" spans="2:12" x14ac:dyDescent="0.25">
      <c r="B135" s="380"/>
      <c r="C135" s="381"/>
      <c r="D135" s="189" t="s">
        <v>66</v>
      </c>
      <c r="E135" s="126"/>
      <c r="F135" s="126"/>
      <c r="G135" s="126"/>
      <c r="H135" s="126"/>
      <c r="I135" s="126"/>
      <c r="J135" s="126"/>
      <c r="K135" s="126"/>
      <c r="L135" s="75">
        <f t="shared" si="25"/>
        <v>0</v>
      </c>
    </row>
    <row r="136" spans="2:12" x14ac:dyDescent="0.25">
      <c r="B136" s="380"/>
      <c r="C136" s="381"/>
      <c r="D136" s="189" t="s">
        <v>67</v>
      </c>
      <c r="E136" s="223">
        <v>720</v>
      </c>
      <c r="F136" s="222"/>
      <c r="G136" s="222"/>
      <c r="H136" s="222"/>
      <c r="I136" s="222"/>
      <c r="J136" s="222"/>
      <c r="K136" s="222"/>
      <c r="L136" s="75">
        <f t="shared" si="25"/>
        <v>720</v>
      </c>
    </row>
    <row r="137" spans="2:12" x14ac:dyDescent="0.25">
      <c r="B137" s="377" t="s">
        <v>15</v>
      </c>
      <c r="C137" s="378"/>
      <c r="D137" s="379"/>
      <c r="E137" s="250">
        <f>SUM(E125:E136)</f>
        <v>2303</v>
      </c>
      <c r="F137" s="250">
        <f t="shared" ref="F137" si="50">SUM(F125:F136)</f>
        <v>0</v>
      </c>
      <c r="G137" s="250">
        <f t="shared" ref="G137" si="51">SUM(G125:G136)</f>
        <v>0</v>
      </c>
      <c r="H137" s="250">
        <f t="shared" ref="H137" si="52">SUM(H125:H136)</f>
        <v>0</v>
      </c>
      <c r="I137" s="250">
        <f t="shared" ref="I137" si="53">SUM(I125:I136)</f>
        <v>0</v>
      </c>
      <c r="J137" s="250">
        <f t="shared" ref="J137" si="54">SUM(J125:J136)</f>
        <v>3956</v>
      </c>
      <c r="K137" s="250">
        <f t="shared" ref="K137" si="55">SUM(K125:K136)</f>
        <v>0</v>
      </c>
      <c r="L137" s="275">
        <f t="shared" ref="L137:L200" si="56">SUM(E137:K137)</f>
        <v>6259</v>
      </c>
    </row>
    <row r="138" spans="2:12" x14ac:dyDescent="0.25">
      <c r="B138" s="380">
        <v>11</v>
      </c>
      <c r="C138" s="381" t="s">
        <v>32</v>
      </c>
      <c r="D138" s="189" t="s">
        <v>56</v>
      </c>
      <c r="E138" s="207"/>
      <c r="F138" s="207"/>
      <c r="G138" s="207"/>
      <c r="H138" s="207"/>
      <c r="I138" s="207"/>
      <c r="J138" s="207"/>
      <c r="K138" s="207"/>
      <c r="L138" s="75">
        <f t="shared" si="56"/>
        <v>0</v>
      </c>
    </row>
    <row r="139" spans="2:12" x14ac:dyDescent="0.25">
      <c r="B139" s="380"/>
      <c r="C139" s="381"/>
      <c r="D139" s="189" t="s">
        <v>57</v>
      </c>
      <c r="E139" s="126"/>
      <c r="F139" s="126"/>
      <c r="G139" s="126"/>
      <c r="H139" s="126"/>
      <c r="I139" s="126"/>
      <c r="J139" s="126"/>
      <c r="K139" s="126"/>
      <c r="L139" s="75">
        <f t="shared" si="56"/>
        <v>0</v>
      </c>
    </row>
    <row r="140" spans="2:12" x14ac:dyDescent="0.25">
      <c r="B140" s="380"/>
      <c r="C140" s="381"/>
      <c r="D140" s="189" t="s">
        <v>58</v>
      </c>
      <c r="E140" s="129">
        <v>1</v>
      </c>
      <c r="F140" s="123"/>
      <c r="G140" s="123"/>
      <c r="H140" s="123"/>
      <c r="I140" s="123"/>
      <c r="J140" s="123"/>
      <c r="K140" s="123"/>
      <c r="L140" s="75">
        <f t="shared" si="56"/>
        <v>1</v>
      </c>
    </row>
    <row r="141" spans="2:12" x14ac:dyDescent="0.25">
      <c r="B141" s="380"/>
      <c r="C141" s="381"/>
      <c r="D141" s="189" t="s">
        <v>59</v>
      </c>
      <c r="E141" s="126"/>
      <c r="F141" s="126"/>
      <c r="G141" s="126"/>
      <c r="H141" s="126"/>
      <c r="I141" s="126"/>
      <c r="J141" s="126"/>
      <c r="K141" s="126"/>
      <c r="L141" s="75">
        <f t="shared" si="56"/>
        <v>0</v>
      </c>
    </row>
    <row r="142" spans="2:12" x14ac:dyDescent="0.25">
      <c r="B142" s="380"/>
      <c r="C142" s="381"/>
      <c r="D142" s="189" t="s">
        <v>60</v>
      </c>
      <c r="E142" s="126"/>
      <c r="F142" s="126"/>
      <c r="G142" s="126"/>
      <c r="H142" s="126"/>
      <c r="I142" s="126"/>
      <c r="J142" s="126"/>
      <c r="K142" s="126"/>
      <c r="L142" s="75">
        <f t="shared" si="56"/>
        <v>0</v>
      </c>
    </row>
    <row r="143" spans="2:12" x14ac:dyDescent="0.25">
      <c r="B143" s="380"/>
      <c r="C143" s="381"/>
      <c r="D143" s="189" t="s">
        <v>61</v>
      </c>
      <c r="E143" s="126"/>
      <c r="F143" s="126"/>
      <c r="G143" s="126"/>
      <c r="H143" s="126"/>
      <c r="I143" s="126"/>
      <c r="J143" s="126"/>
      <c r="K143" s="126"/>
      <c r="L143" s="75">
        <f t="shared" si="56"/>
        <v>0</v>
      </c>
    </row>
    <row r="144" spans="2:12" x14ac:dyDescent="0.25">
      <c r="B144" s="380"/>
      <c r="C144" s="381"/>
      <c r="D144" s="189" t="s">
        <v>62</v>
      </c>
      <c r="E144" s="129">
        <f>2+5+5+5+6+5+2+10+12+7+8</f>
        <v>67</v>
      </c>
      <c r="F144" s="129">
        <v>1</v>
      </c>
      <c r="G144" s="129">
        <v>1</v>
      </c>
      <c r="H144" s="123"/>
      <c r="I144" s="123"/>
      <c r="J144" s="129">
        <f>1+23+16+5</f>
        <v>45</v>
      </c>
      <c r="K144" s="123"/>
      <c r="L144" s="75">
        <f t="shared" si="56"/>
        <v>114</v>
      </c>
    </row>
    <row r="145" spans="2:12" x14ac:dyDescent="0.25">
      <c r="B145" s="380"/>
      <c r="C145" s="381"/>
      <c r="D145" s="189" t="s">
        <v>63</v>
      </c>
      <c r="E145" s="129">
        <f>8+23+2+13</f>
        <v>46</v>
      </c>
      <c r="F145" s="123"/>
      <c r="G145" s="123"/>
      <c r="H145" s="123"/>
      <c r="I145" s="123"/>
      <c r="J145" s="129">
        <f>5+4+1+1+1</f>
        <v>12</v>
      </c>
      <c r="K145" s="123"/>
      <c r="L145" s="75">
        <f t="shared" si="56"/>
        <v>58</v>
      </c>
    </row>
    <row r="146" spans="2:12" x14ac:dyDescent="0.25">
      <c r="B146" s="380"/>
      <c r="C146" s="381"/>
      <c r="D146" s="189" t="s">
        <v>64</v>
      </c>
      <c r="E146" s="129">
        <v>6</v>
      </c>
      <c r="F146" s="126"/>
      <c r="G146" s="126"/>
      <c r="H146" s="126"/>
      <c r="I146" s="126"/>
      <c r="J146" s="126"/>
      <c r="K146" s="126"/>
      <c r="L146" s="75">
        <f t="shared" si="56"/>
        <v>6</v>
      </c>
    </row>
    <row r="147" spans="2:12" x14ac:dyDescent="0.25">
      <c r="B147" s="380"/>
      <c r="C147" s="381"/>
      <c r="D147" s="189" t="s">
        <v>65</v>
      </c>
      <c r="E147" s="126"/>
      <c r="F147" s="126"/>
      <c r="G147" s="126"/>
      <c r="H147" s="126"/>
      <c r="I147" s="126"/>
      <c r="J147" s="126"/>
      <c r="K147" s="126"/>
      <c r="L147" s="75">
        <f t="shared" si="56"/>
        <v>0</v>
      </c>
    </row>
    <row r="148" spans="2:12" x14ac:dyDescent="0.25">
      <c r="B148" s="380"/>
      <c r="C148" s="381"/>
      <c r="D148" s="189" t="s">
        <v>66</v>
      </c>
      <c r="E148" s="126"/>
      <c r="F148" s="129">
        <v>2</v>
      </c>
      <c r="G148" s="126"/>
      <c r="H148" s="126"/>
      <c r="I148" s="126"/>
      <c r="J148" s="126"/>
      <c r="K148" s="126"/>
      <c r="L148" s="75">
        <f t="shared" si="56"/>
        <v>2</v>
      </c>
    </row>
    <row r="149" spans="2:12" x14ac:dyDescent="0.25">
      <c r="B149" s="380"/>
      <c r="C149" s="381"/>
      <c r="D149" s="189" t="s">
        <v>67</v>
      </c>
      <c r="E149" s="222"/>
      <c r="F149" s="222"/>
      <c r="G149" s="222"/>
      <c r="H149" s="222"/>
      <c r="I149" s="222"/>
      <c r="J149" s="222"/>
      <c r="K149" s="222"/>
      <c r="L149" s="75">
        <f t="shared" si="56"/>
        <v>0</v>
      </c>
    </row>
    <row r="150" spans="2:12" x14ac:dyDescent="0.25">
      <c r="B150" s="377" t="s">
        <v>15</v>
      </c>
      <c r="C150" s="378"/>
      <c r="D150" s="379"/>
      <c r="E150" s="250">
        <f>SUM(E138:E149)</f>
        <v>120</v>
      </c>
      <c r="F150" s="250">
        <f t="shared" ref="F150" si="57">SUM(F138:F149)</f>
        <v>3</v>
      </c>
      <c r="G150" s="250">
        <f t="shared" ref="G150" si="58">SUM(G138:G149)</f>
        <v>1</v>
      </c>
      <c r="H150" s="250">
        <f t="shared" ref="H150" si="59">SUM(H138:H149)</f>
        <v>0</v>
      </c>
      <c r="I150" s="250">
        <f t="shared" ref="I150" si="60">SUM(I138:I149)</f>
        <v>0</v>
      </c>
      <c r="J150" s="250">
        <f t="shared" ref="J150" si="61">SUM(J138:J149)</f>
        <v>57</v>
      </c>
      <c r="K150" s="250">
        <f t="shared" ref="K150" si="62">SUM(K138:K149)</f>
        <v>0</v>
      </c>
      <c r="L150" s="275">
        <f t="shared" si="56"/>
        <v>181</v>
      </c>
    </row>
    <row r="151" spans="2:12" x14ac:dyDescent="0.25">
      <c r="B151" s="380">
        <v>12</v>
      </c>
      <c r="C151" s="381" t="s">
        <v>31</v>
      </c>
      <c r="D151" s="195" t="s">
        <v>56</v>
      </c>
      <c r="E151" s="231"/>
      <c r="F151" s="231"/>
      <c r="G151" s="231"/>
      <c r="H151" s="231"/>
      <c r="I151" s="231"/>
      <c r="J151" s="230">
        <v>11163</v>
      </c>
      <c r="K151" s="231"/>
      <c r="L151" s="75">
        <f t="shared" si="56"/>
        <v>11163</v>
      </c>
    </row>
    <row r="152" spans="2:12" x14ac:dyDescent="0.25">
      <c r="B152" s="380"/>
      <c r="C152" s="381"/>
      <c r="D152" s="189" t="s">
        <v>57</v>
      </c>
      <c r="E152" s="126"/>
      <c r="F152" s="126"/>
      <c r="G152" s="126"/>
      <c r="H152" s="126"/>
      <c r="I152" s="126"/>
      <c r="J152" s="126"/>
      <c r="K152" s="126"/>
      <c r="L152" s="75">
        <f t="shared" si="56"/>
        <v>0</v>
      </c>
    </row>
    <row r="153" spans="2:12" x14ac:dyDescent="0.25">
      <c r="B153" s="380"/>
      <c r="C153" s="381"/>
      <c r="D153" s="189" t="s">
        <v>58</v>
      </c>
      <c r="E153" s="126"/>
      <c r="F153" s="126"/>
      <c r="G153" s="126"/>
      <c r="H153" s="126"/>
      <c r="I153" s="126"/>
      <c r="J153" s="163"/>
      <c r="K153" s="126"/>
      <c r="L153" s="75">
        <f t="shared" si="56"/>
        <v>0</v>
      </c>
    </row>
    <row r="154" spans="2:12" x14ac:dyDescent="0.25">
      <c r="B154" s="380"/>
      <c r="C154" s="381"/>
      <c r="D154" s="189" t="s">
        <v>59</v>
      </c>
      <c r="E154" s="126"/>
      <c r="F154" s="126"/>
      <c r="G154" s="126"/>
      <c r="H154" s="126"/>
      <c r="I154" s="126"/>
      <c r="J154" s="126"/>
      <c r="K154" s="126"/>
      <c r="L154" s="75">
        <f t="shared" si="56"/>
        <v>0</v>
      </c>
    </row>
    <row r="155" spans="2:12" x14ac:dyDescent="0.25">
      <c r="B155" s="380"/>
      <c r="C155" s="381"/>
      <c r="D155" s="189" t="s">
        <v>60</v>
      </c>
      <c r="E155" s="126"/>
      <c r="F155" s="126"/>
      <c r="G155" s="126"/>
      <c r="H155" s="126"/>
      <c r="I155" s="126"/>
      <c r="J155" s="126"/>
      <c r="K155" s="126"/>
      <c r="L155" s="75">
        <f t="shared" si="56"/>
        <v>0</v>
      </c>
    </row>
    <row r="156" spans="2:12" x14ac:dyDescent="0.25">
      <c r="B156" s="380"/>
      <c r="C156" s="381"/>
      <c r="D156" s="189" t="s">
        <v>61</v>
      </c>
      <c r="E156" s="126"/>
      <c r="F156" s="126"/>
      <c r="G156" s="126"/>
      <c r="H156" s="126"/>
      <c r="I156" s="126"/>
      <c r="J156" s="126"/>
      <c r="K156" s="126"/>
      <c r="L156" s="75">
        <f t="shared" si="56"/>
        <v>0</v>
      </c>
    </row>
    <row r="157" spans="2:12" x14ac:dyDescent="0.25">
      <c r="B157" s="380"/>
      <c r="C157" s="381"/>
      <c r="D157" s="189" t="s">
        <v>62</v>
      </c>
      <c r="E157" s="129">
        <f>9+1</f>
        <v>10</v>
      </c>
      <c r="F157" s="129">
        <v>3</v>
      </c>
      <c r="G157" s="129">
        <v>1</v>
      </c>
      <c r="H157" s="126"/>
      <c r="I157" s="126"/>
      <c r="J157" s="126"/>
      <c r="K157" s="126"/>
      <c r="L157" s="75">
        <f t="shared" si="56"/>
        <v>14</v>
      </c>
    </row>
    <row r="158" spans="2:12" x14ac:dyDescent="0.25">
      <c r="B158" s="380"/>
      <c r="C158" s="381"/>
      <c r="D158" s="189" t="s">
        <v>63</v>
      </c>
      <c r="E158" s="129">
        <v>15</v>
      </c>
      <c r="F158" s="126"/>
      <c r="G158" s="126"/>
      <c r="H158" s="126"/>
      <c r="I158" s="126"/>
      <c r="J158" s="126"/>
      <c r="K158" s="126"/>
      <c r="L158" s="75">
        <f t="shared" si="56"/>
        <v>15</v>
      </c>
    </row>
    <row r="159" spans="2:12" x14ac:dyDescent="0.25">
      <c r="B159" s="380"/>
      <c r="C159" s="381"/>
      <c r="D159" s="189" t="s">
        <v>64</v>
      </c>
      <c r="E159" s="126"/>
      <c r="F159" s="126"/>
      <c r="G159" s="126"/>
      <c r="H159" s="126"/>
      <c r="I159" s="126"/>
      <c r="J159" s="126"/>
      <c r="K159" s="126"/>
      <c r="L159" s="75">
        <f t="shared" si="56"/>
        <v>0</v>
      </c>
    </row>
    <row r="160" spans="2:12" x14ac:dyDescent="0.25">
      <c r="B160" s="380"/>
      <c r="C160" s="381"/>
      <c r="D160" s="189" t="s">
        <v>65</v>
      </c>
      <c r="E160" s="126"/>
      <c r="F160" s="126"/>
      <c r="G160" s="126"/>
      <c r="H160" s="126"/>
      <c r="I160" s="126"/>
      <c r="J160" s="126"/>
      <c r="K160" s="126"/>
      <c r="L160" s="75">
        <f t="shared" si="56"/>
        <v>0</v>
      </c>
    </row>
    <row r="161" spans="2:12" x14ac:dyDescent="0.25">
      <c r="B161" s="380"/>
      <c r="C161" s="381"/>
      <c r="D161" s="189" t="s">
        <v>66</v>
      </c>
      <c r="E161" s="126"/>
      <c r="F161" s="126"/>
      <c r="G161" s="126"/>
      <c r="H161" s="126"/>
      <c r="I161" s="126"/>
      <c r="J161" s="126"/>
      <c r="K161" s="126"/>
      <c r="L161" s="75">
        <f t="shared" si="56"/>
        <v>0</v>
      </c>
    </row>
    <row r="162" spans="2:12" x14ac:dyDescent="0.25">
      <c r="B162" s="380"/>
      <c r="C162" s="381"/>
      <c r="D162" s="189" t="s">
        <v>67</v>
      </c>
      <c r="E162" s="222"/>
      <c r="F162" s="222"/>
      <c r="G162" s="222"/>
      <c r="H162" s="222"/>
      <c r="I162" s="222"/>
      <c r="J162" s="222"/>
      <c r="K162" s="222"/>
      <c r="L162" s="75">
        <f t="shared" si="56"/>
        <v>0</v>
      </c>
    </row>
    <row r="163" spans="2:12" x14ac:dyDescent="0.25">
      <c r="B163" s="377" t="s">
        <v>15</v>
      </c>
      <c r="C163" s="378"/>
      <c r="D163" s="379"/>
      <c r="E163" s="250">
        <f>SUM(E151:E162)</f>
        <v>25</v>
      </c>
      <c r="F163" s="250">
        <f t="shared" ref="F163" si="63">SUM(F151:F162)</f>
        <v>3</v>
      </c>
      <c r="G163" s="250">
        <f t="shared" ref="G163" si="64">SUM(G151:G162)</f>
        <v>1</v>
      </c>
      <c r="H163" s="250">
        <f t="shared" ref="H163" si="65">SUM(H151:H162)</f>
        <v>0</v>
      </c>
      <c r="I163" s="250">
        <f t="shared" ref="I163" si="66">SUM(I151:I162)</f>
        <v>0</v>
      </c>
      <c r="J163" s="250">
        <f t="shared" ref="J163" si="67">SUM(J151:J162)</f>
        <v>11163</v>
      </c>
      <c r="K163" s="250">
        <f t="shared" ref="K163" si="68">SUM(K151:K162)</f>
        <v>0</v>
      </c>
      <c r="L163" s="275">
        <f t="shared" si="56"/>
        <v>11192</v>
      </c>
    </row>
    <row r="164" spans="2:12" x14ac:dyDescent="0.25">
      <c r="B164" s="380">
        <v>13</v>
      </c>
      <c r="C164" s="381" t="s">
        <v>29</v>
      </c>
      <c r="D164" s="189" t="s">
        <v>56</v>
      </c>
      <c r="E164" s="208">
        <f>7824+106</f>
        <v>7930</v>
      </c>
      <c r="F164" s="176"/>
      <c r="G164" s="207"/>
      <c r="H164" s="207"/>
      <c r="I164" s="207"/>
      <c r="J164" s="208">
        <f>22941+170</f>
        <v>23111</v>
      </c>
      <c r="K164" s="207"/>
      <c r="L164" s="75">
        <f t="shared" si="56"/>
        <v>31041</v>
      </c>
    </row>
    <row r="165" spans="2:12" x14ac:dyDescent="0.25">
      <c r="B165" s="380"/>
      <c r="C165" s="381"/>
      <c r="D165" s="189" t="s">
        <v>57</v>
      </c>
      <c r="E165" s="126"/>
      <c r="F165" s="126"/>
      <c r="G165" s="126"/>
      <c r="H165" s="126"/>
      <c r="I165" s="126"/>
      <c r="J165" s="126"/>
      <c r="K165" s="126"/>
      <c r="L165" s="75">
        <f t="shared" si="56"/>
        <v>0</v>
      </c>
    </row>
    <row r="166" spans="2:12" x14ac:dyDescent="0.25">
      <c r="B166" s="380"/>
      <c r="C166" s="381"/>
      <c r="D166" s="189" t="s">
        <v>58</v>
      </c>
      <c r="E166" s="129">
        <v>1</v>
      </c>
      <c r="F166" s="126"/>
      <c r="G166" s="126"/>
      <c r="H166" s="126"/>
      <c r="I166" s="126"/>
      <c r="J166" s="126"/>
      <c r="K166" s="126"/>
      <c r="L166" s="75">
        <f t="shared" si="56"/>
        <v>1</v>
      </c>
    </row>
    <row r="167" spans="2:12" x14ac:dyDescent="0.25">
      <c r="B167" s="380"/>
      <c r="C167" s="381"/>
      <c r="D167" s="189" t="s">
        <v>59</v>
      </c>
      <c r="E167" s="126"/>
      <c r="F167" s="126"/>
      <c r="G167" s="126"/>
      <c r="H167" s="126"/>
      <c r="I167" s="126"/>
      <c r="J167" s="126"/>
      <c r="K167" s="126"/>
      <c r="L167" s="75">
        <f t="shared" si="56"/>
        <v>0</v>
      </c>
    </row>
    <row r="168" spans="2:12" x14ac:dyDescent="0.25">
      <c r="B168" s="380"/>
      <c r="C168" s="381"/>
      <c r="D168" s="189" t="s">
        <v>60</v>
      </c>
      <c r="E168" s="126"/>
      <c r="F168" s="126"/>
      <c r="G168" s="126"/>
      <c r="H168" s="126"/>
      <c r="I168" s="126"/>
      <c r="J168" s="126"/>
      <c r="K168" s="126"/>
      <c r="L168" s="75">
        <f t="shared" si="56"/>
        <v>0</v>
      </c>
    </row>
    <row r="169" spans="2:12" x14ac:dyDescent="0.25">
      <c r="B169" s="380"/>
      <c r="C169" s="381"/>
      <c r="D169" s="189" t="s">
        <v>61</v>
      </c>
      <c r="E169" s="126"/>
      <c r="F169" s="126"/>
      <c r="G169" s="126"/>
      <c r="H169" s="126"/>
      <c r="I169" s="126"/>
      <c r="J169" s="126"/>
      <c r="K169" s="126"/>
      <c r="L169" s="75">
        <f t="shared" si="56"/>
        <v>0</v>
      </c>
    </row>
    <row r="170" spans="2:12" x14ac:dyDescent="0.25">
      <c r="B170" s="380"/>
      <c r="C170" s="381"/>
      <c r="D170" s="189" t="s">
        <v>62</v>
      </c>
      <c r="E170" s="129">
        <f>5+6+7+10+12+2</f>
        <v>42</v>
      </c>
      <c r="F170" s="129">
        <v>1</v>
      </c>
      <c r="G170" s="123"/>
      <c r="H170" s="123"/>
      <c r="I170" s="123"/>
      <c r="J170" s="129">
        <v>4</v>
      </c>
      <c r="K170" s="129">
        <f>4+2</f>
        <v>6</v>
      </c>
      <c r="L170" s="75">
        <f t="shared" si="56"/>
        <v>53</v>
      </c>
    </row>
    <row r="171" spans="2:12" x14ac:dyDescent="0.25">
      <c r="B171" s="380"/>
      <c r="C171" s="381"/>
      <c r="D171" s="189" t="s">
        <v>63</v>
      </c>
      <c r="E171" s="129">
        <f>252+2+2+3</f>
        <v>259</v>
      </c>
      <c r="F171" s="123"/>
      <c r="G171" s="123"/>
      <c r="H171" s="123"/>
      <c r="I171" s="123"/>
      <c r="J171" s="129">
        <f>257+4+8</f>
        <v>269</v>
      </c>
      <c r="K171" s="129">
        <f>2+3</f>
        <v>5</v>
      </c>
      <c r="L171" s="75">
        <f t="shared" si="56"/>
        <v>533</v>
      </c>
    </row>
    <row r="172" spans="2:12" x14ac:dyDescent="0.25">
      <c r="B172" s="380"/>
      <c r="C172" s="381"/>
      <c r="D172" s="189" t="s">
        <v>64</v>
      </c>
      <c r="E172" s="126"/>
      <c r="F172" s="126"/>
      <c r="G172" s="126"/>
      <c r="H172" s="126"/>
      <c r="I172" s="126"/>
      <c r="J172" s="126"/>
      <c r="K172" s="126"/>
      <c r="L172" s="75">
        <f t="shared" si="56"/>
        <v>0</v>
      </c>
    </row>
    <row r="173" spans="2:12" x14ac:dyDescent="0.25">
      <c r="B173" s="380"/>
      <c r="C173" s="381"/>
      <c r="D173" s="189" t="s">
        <v>65</v>
      </c>
      <c r="E173" s="126"/>
      <c r="F173" s="126"/>
      <c r="G173" s="126"/>
      <c r="H173" s="126"/>
      <c r="I173" s="126"/>
      <c r="J173" s="126"/>
      <c r="K173" s="126"/>
      <c r="L173" s="75">
        <f t="shared" si="56"/>
        <v>0</v>
      </c>
    </row>
    <row r="174" spans="2:12" x14ac:dyDescent="0.25">
      <c r="B174" s="380"/>
      <c r="C174" s="381"/>
      <c r="D174" s="189" t="s">
        <v>66</v>
      </c>
      <c r="E174" s="126"/>
      <c r="F174" s="129">
        <v>1</v>
      </c>
      <c r="G174" s="126"/>
      <c r="H174" s="126"/>
      <c r="I174" s="126"/>
      <c r="J174" s="126"/>
      <c r="K174" s="126"/>
      <c r="L174" s="75">
        <f t="shared" si="56"/>
        <v>1</v>
      </c>
    </row>
    <row r="175" spans="2:12" x14ac:dyDescent="0.25">
      <c r="B175" s="380"/>
      <c r="C175" s="381"/>
      <c r="D175" s="189" t="s">
        <v>67</v>
      </c>
      <c r="E175" s="222"/>
      <c r="F175" s="222"/>
      <c r="G175" s="222"/>
      <c r="H175" s="222"/>
      <c r="I175" s="222"/>
      <c r="J175" s="223">
        <v>10417</v>
      </c>
      <c r="K175" s="222"/>
      <c r="L175" s="75">
        <f t="shared" si="56"/>
        <v>10417</v>
      </c>
    </row>
    <row r="176" spans="2:12" x14ac:dyDescent="0.25">
      <c r="B176" s="377" t="s">
        <v>15</v>
      </c>
      <c r="C176" s="378"/>
      <c r="D176" s="379"/>
      <c r="E176" s="250">
        <f>SUM(E164:E175)</f>
        <v>8232</v>
      </c>
      <c r="F176" s="250">
        <f t="shared" ref="F176" si="69">SUM(F164:F175)</f>
        <v>2</v>
      </c>
      <c r="G176" s="250">
        <f t="shared" ref="G176" si="70">SUM(G164:G175)</f>
        <v>0</v>
      </c>
      <c r="H176" s="250">
        <f t="shared" ref="H176" si="71">SUM(H164:H175)</f>
        <v>0</v>
      </c>
      <c r="I176" s="250">
        <f t="shared" ref="I176" si="72">SUM(I164:I175)</f>
        <v>0</v>
      </c>
      <c r="J176" s="250">
        <f t="shared" ref="J176" si="73">SUM(J164:J175)</f>
        <v>33801</v>
      </c>
      <c r="K176" s="250">
        <f t="shared" ref="K176" si="74">SUM(K164:K175)</f>
        <v>11</v>
      </c>
      <c r="L176" s="275">
        <f t="shared" si="56"/>
        <v>42046</v>
      </c>
    </row>
    <row r="177" spans="2:12" x14ac:dyDescent="0.25">
      <c r="B177" s="380">
        <v>14</v>
      </c>
      <c r="C177" s="381" t="s">
        <v>28</v>
      </c>
      <c r="D177" s="189" t="s">
        <v>56</v>
      </c>
      <c r="E177" s="208">
        <f>396+8</f>
        <v>404</v>
      </c>
      <c r="F177" s="176"/>
      <c r="G177" s="176"/>
      <c r="H177" s="176"/>
      <c r="I177" s="176"/>
      <c r="J177" s="176"/>
      <c r="K177" s="208">
        <v>94</v>
      </c>
      <c r="L177" s="75">
        <f t="shared" si="56"/>
        <v>498</v>
      </c>
    </row>
    <row r="178" spans="2:12" x14ac:dyDescent="0.25">
      <c r="B178" s="380"/>
      <c r="C178" s="381"/>
      <c r="D178" s="189" t="s">
        <v>57</v>
      </c>
      <c r="E178" s="126"/>
      <c r="F178" s="126"/>
      <c r="G178" s="126"/>
      <c r="H178" s="126"/>
      <c r="I178" s="126"/>
      <c r="J178" s="126"/>
      <c r="K178" s="126"/>
      <c r="L178" s="75">
        <f t="shared" si="56"/>
        <v>0</v>
      </c>
    </row>
    <row r="179" spans="2:12" x14ac:dyDescent="0.25">
      <c r="B179" s="380"/>
      <c r="C179" s="381"/>
      <c r="D179" s="189" t="s">
        <v>58</v>
      </c>
      <c r="E179" s="126"/>
      <c r="F179" s="126"/>
      <c r="G179" s="126"/>
      <c r="H179" s="126"/>
      <c r="I179" s="126"/>
      <c r="J179" s="126"/>
      <c r="K179" s="126"/>
      <c r="L179" s="75">
        <f t="shared" si="56"/>
        <v>0</v>
      </c>
    </row>
    <row r="180" spans="2:12" x14ac:dyDescent="0.25">
      <c r="B180" s="380"/>
      <c r="C180" s="381"/>
      <c r="D180" s="189" t="s">
        <v>59</v>
      </c>
      <c r="E180" s="126"/>
      <c r="F180" s="126"/>
      <c r="G180" s="126"/>
      <c r="H180" s="126"/>
      <c r="I180" s="126"/>
      <c r="J180" s="126"/>
      <c r="K180" s="126"/>
      <c r="L180" s="75">
        <f t="shared" si="56"/>
        <v>0</v>
      </c>
    </row>
    <row r="181" spans="2:12" x14ac:dyDescent="0.25">
      <c r="B181" s="380"/>
      <c r="C181" s="381"/>
      <c r="D181" s="189" t="s">
        <v>60</v>
      </c>
      <c r="E181" s="126"/>
      <c r="F181" s="126"/>
      <c r="G181" s="126"/>
      <c r="H181" s="126"/>
      <c r="I181" s="126"/>
      <c r="J181" s="126"/>
      <c r="K181" s="126"/>
      <c r="L181" s="75">
        <f t="shared" si="56"/>
        <v>0</v>
      </c>
    </row>
    <row r="182" spans="2:12" x14ac:dyDescent="0.25">
      <c r="B182" s="380"/>
      <c r="C182" s="381"/>
      <c r="D182" s="189" t="s">
        <v>61</v>
      </c>
      <c r="E182" s="126"/>
      <c r="F182" s="126"/>
      <c r="G182" s="126"/>
      <c r="H182" s="126"/>
      <c r="I182" s="126"/>
      <c r="J182" s="126"/>
      <c r="K182" s="126"/>
      <c r="L182" s="75">
        <f t="shared" si="56"/>
        <v>0</v>
      </c>
    </row>
    <row r="183" spans="2:12" x14ac:dyDescent="0.25">
      <c r="B183" s="380"/>
      <c r="C183" s="381"/>
      <c r="D183" s="189" t="s">
        <v>62</v>
      </c>
      <c r="E183" s="129">
        <f>1+2+1+5+2+3+3+3</f>
        <v>20</v>
      </c>
      <c r="F183" s="123"/>
      <c r="G183" s="123"/>
      <c r="H183" s="123"/>
      <c r="I183" s="123"/>
      <c r="J183" s="129">
        <f>4+9</f>
        <v>13</v>
      </c>
      <c r="K183" s="129">
        <f>11+7+1+3+5+13</f>
        <v>40</v>
      </c>
      <c r="L183" s="75">
        <f t="shared" si="56"/>
        <v>73</v>
      </c>
    </row>
    <row r="184" spans="2:12" x14ac:dyDescent="0.25">
      <c r="B184" s="380"/>
      <c r="C184" s="381"/>
      <c r="D184" s="189" t="s">
        <v>63</v>
      </c>
      <c r="E184" s="129">
        <f>1+1+9+1+12+2</f>
        <v>26</v>
      </c>
      <c r="F184" s="123"/>
      <c r="G184" s="129">
        <v>1</v>
      </c>
      <c r="H184" s="123"/>
      <c r="I184" s="123"/>
      <c r="J184" s="129">
        <f>1+3+18</f>
        <v>22</v>
      </c>
      <c r="K184" s="123"/>
      <c r="L184" s="75">
        <f t="shared" si="56"/>
        <v>49</v>
      </c>
    </row>
    <row r="185" spans="2:12" x14ac:dyDescent="0.25">
      <c r="B185" s="380"/>
      <c r="C185" s="381"/>
      <c r="D185" s="189" t="s">
        <v>64</v>
      </c>
      <c r="E185" s="126"/>
      <c r="F185" s="126"/>
      <c r="G185" s="126"/>
      <c r="H185" s="126"/>
      <c r="I185" s="126"/>
      <c r="J185" s="126"/>
      <c r="K185" s="126"/>
      <c r="L185" s="75">
        <f t="shared" si="56"/>
        <v>0</v>
      </c>
    </row>
    <row r="186" spans="2:12" x14ac:dyDescent="0.25">
      <c r="B186" s="380"/>
      <c r="C186" s="381"/>
      <c r="D186" s="189" t="s">
        <v>65</v>
      </c>
      <c r="E186" s="126"/>
      <c r="F186" s="126"/>
      <c r="G186" s="126"/>
      <c r="H186" s="126"/>
      <c r="I186" s="126"/>
      <c r="J186" s="126"/>
      <c r="K186" s="126"/>
      <c r="L186" s="75">
        <f t="shared" si="56"/>
        <v>0</v>
      </c>
    </row>
    <row r="187" spans="2:12" x14ac:dyDescent="0.25">
      <c r="B187" s="380"/>
      <c r="C187" s="381"/>
      <c r="D187" s="189" t="s">
        <v>66</v>
      </c>
      <c r="E187" s="126"/>
      <c r="F187" s="126"/>
      <c r="G187" s="126"/>
      <c r="H187" s="126"/>
      <c r="I187" s="126"/>
      <c r="J187" s="126"/>
      <c r="K187" s="126"/>
      <c r="L187" s="75">
        <f t="shared" si="56"/>
        <v>0</v>
      </c>
    </row>
    <row r="188" spans="2:12" x14ac:dyDescent="0.25">
      <c r="B188" s="380"/>
      <c r="C188" s="381"/>
      <c r="D188" s="189" t="s">
        <v>67</v>
      </c>
      <c r="E188" s="223">
        <v>323</v>
      </c>
      <c r="F188" s="222"/>
      <c r="G188" s="222"/>
      <c r="H188" s="222"/>
      <c r="I188" s="222"/>
      <c r="J188" s="222"/>
      <c r="K188" s="222"/>
      <c r="L188" s="75">
        <f t="shared" si="56"/>
        <v>323</v>
      </c>
    </row>
    <row r="189" spans="2:12" x14ac:dyDescent="0.25">
      <c r="B189" s="377" t="s">
        <v>15</v>
      </c>
      <c r="C189" s="378"/>
      <c r="D189" s="379"/>
      <c r="E189" s="250">
        <f>SUM(E177:E188)</f>
        <v>773</v>
      </c>
      <c r="F189" s="250">
        <f t="shared" ref="F189" si="75">SUM(F177:F188)</f>
        <v>0</v>
      </c>
      <c r="G189" s="250">
        <f t="shared" ref="G189" si="76">SUM(G177:G188)</f>
        <v>1</v>
      </c>
      <c r="H189" s="250">
        <f t="shared" ref="H189" si="77">SUM(H177:H188)</f>
        <v>0</v>
      </c>
      <c r="I189" s="250">
        <f t="shared" ref="I189" si="78">SUM(I177:I188)</f>
        <v>0</v>
      </c>
      <c r="J189" s="250">
        <f t="shared" ref="J189" si="79">SUM(J177:J188)</f>
        <v>35</v>
      </c>
      <c r="K189" s="250">
        <f t="shared" ref="K189" si="80">SUM(K177:K188)</f>
        <v>134</v>
      </c>
      <c r="L189" s="275">
        <f t="shared" si="56"/>
        <v>943</v>
      </c>
    </row>
    <row r="190" spans="2:12" x14ac:dyDescent="0.25">
      <c r="B190" s="380">
        <v>15</v>
      </c>
      <c r="C190" s="381" t="s">
        <v>30</v>
      </c>
      <c r="D190" s="189" t="s">
        <v>56</v>
      </c>
      <c r="E190" s="208">
        <f>200+160</f>
        <v>360</v>
      </c>
      <c r="F190" s="207"/>
      <c r="G190" s="207"/>
      <c r="H190" s="207"/>
      <c r="I190" s="207"/>
      <c r="J190" s="208">
        <v>500</v>
      </c>
      <c r="K190" s="207"/>
      <c r="L190" s="75">
        <f t="shared" si="56"/>
        <v>860</v>
      </c>
    </row>
    <row r="191" spans="2:12" x14ac:dyDescent="0.25">
      <c r="B191" s="380"/>
      <c r="C191" s="381"/>
      <c r="D191" s="189" t="s">
        <v>57</v>
      </c>
      <c r="E191" s="126"/>
      <c r="F191" s="126"/>
      <c r="G191" s="126"/>
      <c r="H191" s="126"/>
      <c r="I191" s="126"/>
      <c r="J191" s="126"/>
      <c r="K191" s="126"/>
      <c r="L191" s="75">
        <f t="shared" si="56"/>
        <v>0</v>
      </c>
    </row>
    <row r="192" spans="2:12" x14ac:dyDescent="0.25">
      <c r="B192" s="380"/>
      <c r="C192" s="381"/>
      <c r="D192" s="189" t="s">
        <v>58</v>
      </c>
      <c r="E192" s="129">
        <f>104+1</f>
        <v>105</v>
      </c>
      <c r="F192" s="126"/>
      <c r="G192" s="126"/>
      <c r="H192" s="126"/>
      <c r="I192" s="126"/>
      <c r="J192" s="129">
        <v>1</v>
      </c>
      <c r="K192" s="126"/>
      <c r="L192" s="75">
        <f t="shared" si="56"/>
        <v>106</v>
      </c>
    </row>
    <row r="193" spans="2:12" x14ac:dyDescent="0.25">
      <c r="B193" s="380"/>
      <c r="C193" s="381"/>
      <c r="D193" s="189" t="s">
        <v>59</v>
      </c>
      <c r="E193" s="126"/>
      <c r="F193" s="126"/>
      <c r="G193" s="126"/>
      <c r="H193" s="126"/>
      <c r="I193" s="126"/>
      <c r="J193" s="126"/>
      <c r="K193" s="126"/>
      <c r="L193" s="75">
        <f t="shared" si="56"/>
        <v>0</v>
      </c>
    </row>
    <row r="194" spans="2:12" x14ac:dyDescent="0.25">
      <c r="B194" s="380"/>
      <c r="C194" s="381"/>
      <c r="D194" s="189" t="s">
        <v>60</v>
      </c>
      <c r="E194" s="126"/>
      <c r="F194" s="126"/>
      <c r="G194" s="126"/>
      <c r="H194" s="126"/>
      <c r="I194" s="126"/>
      <c r="J194" s="126"/>
      <c r="K194" s="126"/>
      <c r="L194" s="75">
        <f t="shared" si="56"/>
        <v>0</v>
      </c>
    </row>
    <row r="195" spans="2:12" x14ac:dyDescent="0.25">
      <c r="B195" s="380"/>
      <c r="C195" s="381"/>
      <c r="D195" s="189" t="s">
        <v>61</v>
      </c>
      <c r="E195" s="126"/>
      <c r="F195" s="126"/>
      <c r="G195" s="126"/>
      <c r="H195" s="126"/>
      <c r="I195" s="126"/>
      <c r="J195" s="126"/>
      <c r="K195" s="126"/>
      <c r="L195" s="75">
        <f t="shared" si="56"/>
        <v>0</v>
      </c>
    </row>
    <row r="196" spans="2:12" x14ac:dyDescent="0.25">
      <c r="B196" s="380"/>
      <c r="C196" s="381"/>
      <c r="D196" s="189" t="s">
        <v>62</v>
      </c>
      <c r="E196" s="129">
        <f>1+2+1+3+4+1</f>
        <v>12</v>
      </c>
      <c r="F196" s="129">
        <v>1</v>
      </c>
      <c r="G196" s="129">
        <v>1</v>
      </c>
      <c r="H196" s="126"/>
      <c r="I196" s="126"/>
      <c r="J196" s="126"/>
      <c r="K196" s="129">
        <v>1</v>
      </c>
      <c r="L196" s="75">
        <f t="shared" si="56"/>
        <v>15</v>
      </c>
    </row>
    <row r="197" spans="2:12" x14ac:dyDescent="0.25">
      <c r="B197" s="380"/>
      <c r="C197" s="381"/>
      <c r="D197" s="189" t="s">
        <v>63</v>
      </c>
      <c r="E197" s="129">
        <v>18</v>
      </c>
      <c r="F197" s="123"/>
      <c r="G197" s="123"/>
      <c r="H197" s="123"/>
      <c r="I197" s="123"/>
      <c r="J197" s="129">
        <f>81+1</f>
        <v>82</v>
      </c>
      <c r="K197" s="123"/>
      <c r="L197" s="75">
        <f t="shared" si="56"/>
        <v>100</v>
      </c>
    </row>
    <row r="198" spans="2:12" x14ac:dyDescent="0.25">
      <c r="B198" s="380"/>
      <c r="C198" s="381"/>
      <c r="D198" s="189" t="s">
        <v>64</v>
      </c>
      <c r="E198" s="126"/>
      <c r="F198" s="126"/>
      <c r="G198" s="126"/>
      <c r="H198" s="126"/>
      <c r="I198" s="126"/>
      <c r="J198" s="126"/>
      <c r="K198" s="126"/>
      <c r="L198" s="75">
        <f t="shared" si="56"/>
        <v>0</v>
      </c>
    </row>
    <row r="199" spans="2:12" x14ac:dyDescent="0.25">
      <c r="B199" s="380"/>
      <c r="C199" s="381"/>
      <c r="D199" s="189" t="s">
        <v>65</v>
      </c>
      <c r="E199" s="126"/>
      <c r="F199" s="126"/>
      <c r="G199" s="126"/>
      <c r="H199" s="126"/>
      <c r="I199" s="126"/>
      <c r="J199" s="126"/>
      <c r="K199" s="126"/>
      <c r="L199" s="75">
        <f t="shared" si="56"/>
        <v>0</v>
      </c>
    </row>
    <row r="200" spans="2:12" x14ac:dyDescent="0.25">
      <c r="B200" s="380"/>
      <c r="C200" s="381"/>
      <c r="D200" s="189" t="s">
        <v>66</v>
      </c>
      <c r="E200" s="126"/>
      <c r="F200" s="126"/>
      <c r="G200" s="126"/>
      <c r="H200" s="126"/>
      <c r="I200" s="126"/>
      <c r="J200" s="126"/>
      <c r="K200" s="126"/>
      <c r="L200" s="75">
        <f t="shared" si="56"/>
        <v>0</v>
      </c>
    </row>
    <row r="201" spans="2:12" x14ac:dyDescent="0.25">
      <c r="B201" s="380"/>
      <c r="C201" s="381"/>
      <c r="D201" s="189" t="s">
        <v>67</v>
      </c>
      <c r="E201" s="222"/>
      <c r="F201" s="222"/>
      <c r="G201" s="222"/>
      <c r="H201" s="222"/>
      <c r="I201" s="222"/>
      <c r="J201" s="222"/>
      <c r="K201" s="222"/>
      <c r="L201" s="75">
        <f t="shared" ref="L201:L264" si="81">SUM(E201:K201)</f>
        <v>0</v>
      </c>
    </row>
    <row r="202" spans="2:12" x14ac:dyDescent="0.25">
      <c r="B202" s="377" t="s">
        <v>15</v>
      </c>
      <c r="C202" s="378"/>
      <c r="D202" s="379"/>
      <c r="E202" s="250">
        <f>SUM(E190:E201)</f>
        <v>495</v>
      </c>
      <c r="F202" s="250">
        <f t="shared" ref="F202" si="82">SUM(F190:F201)</f>
        <v>1</v>
      </c>
      <c r="G202" s="250">
        <f t="shared" ref="G202" si="83">SUM(G190:G201)</f>
        <v>1</v>
      </c>
      <c r="H202" s="250">
        <f t="shared" ref="H202" si="84">SUM(H190:H201)</f>
        <v>0</v>
      </c>
      <c r="I202" s="250">
        <f t="shared" ref="I202" si="85">SUM(I190:I201)</f>
        <v>0</v>
      </c>
      <c r="J202" s="250">
        <f t="shared" ref="J202" si="86">SUM(J190:J201)</f>
        <v>583</v>
      </c>
      <c r="K202" s="250">
        <f t="shared" ref="K202" si="87">SUM(K190:K201)</f>
        <v>1</v>
      </c>
      <c r="L202" s="275">
        <f t="shared" si="81"/>
        <v>1081</v>
      </c>
    </row>
    <row r="203" spans="2:12" x14ac:dyDescent="0.25">
      <c r="B203" s="380">
        <v>16</v>
      </c>
      <c r="C203" s="381" t="s">
        <v>33</v>
      </c>
      <c r="D203" s="195" t="s">
        <v>56</v>
      </c>
      <c r="E203" s="230">
        <v>65</v>
      </c>
      <c r="F203" s="231"/>
      <c r="G203" s="231"/>
      <c r="H203" s="231"/>
      <c r="I203" s="231"/>
      <c r="J203" s="230">
        <v>191</v>
      </c>
      <c r="K203" s="230">
        <v>7</v>
      </c>
      <c r="L203" s="75">
        <f t="shared" si="81"/>
        <v>263</v>
      </c>
    </row>
    <row r="204" spans="2:12" x14ac:dyDescent="0.25">
      <c r="B204" s="380"/>
      <c r="C204" s="381"/>
      <c r="D204" s="189" t="s">
        <v>57</v>
      </c>
      <c r="E204" s="126"/>
      <c r="F204" s="126"/>
      <c r="G204" s="126"/>
      <c r="H204" s="126"/>
      <c r="I204" s="126"/>
      <c r="J204" s="126"/>
      <c r="K204" s="126"/>
      <c r="L204" s="75">
        <f t="shared" si="81"/>
        <v>0</v>
      </c>
    </row>
    <row r="205" spans="2:12" x14ac:dyDescent="0.25">
      <c r="B205" s="380"/>
      <c r="C205" s="381"/>
      <c r="D205" s="189" t="s">
        <v>58</v>
      </c>
      <c r="E205" s="129">
        <f>1+1</f>
        <v>2</v>
      </c>
      <c r="F205" s="126"/>
      <c r="G205" s="126"/>
      <c r="H205" s="126"/>
      <c r="I205" s="126"/>
      <c r="J205" s="129">
        <f>4+5</f>
        <v>9</v>
      </c>
      <c r="K205" s="126"/>
      <c r="L205" s="75">
        <f t="shared" si="81"/>
        <v>11</v>
      </c>
    </row>
    <row r="206" spans="2:12" x14ac:dyDescent="0.25">
      <c r="B206" s="380"/>
      <c r="C206" s="381"/>
      <c r="D206" s="189" t="s">
        <v>59</v>
      </c>
      <c r="E206" s="129">
        <v>30</v>
      </c>
      <c r="F206" s="126"/>
      <c r="G206" s="126"/>
      <c r="H206" s="126"/>
      <c r="I206" s="126"/>
      <c r="J206" s="129">
        <v>96</v>
      </c>
      <c r="K206" s="126"/>
      <c r="L206" s="75">
        <f t="shared" si="81"/>
        <v>126</v>
      </c>
    </row>
    <row r="207" spans="2:12" x14ac:dyDescent="0.25">
      <c r="B207" s="380"/>
      <c r="C207" s="381"/>
      <c r="D207" s="189" t="s">
        <v>60</v>
      </c>
      <c r="E207" s="126"/>
      <c r="F207" s="126"/>
      <c r="G207" s="126"/>
      <c r="H207" s="126"/>
      <c r="I207" s="126"/>
      <c r="J207" s="126"/>
      <c r="K207" s="126"/>
      <c r="L207" s="75">
        <f t="shared" si="81"/>
        <v>0</v>
      </c>
    </row>
    <row r="208" spans="2:12" x14ac:dyDescent="0.25">
      <c r="B208" s="380"/>
      <c r="C208" s="381"/>
      <c r="D208" s="189" t="s">
        <v>61</v>
      </c>
      <c r="E208" s="126"/>
      <c r="F208" s="126"/>
      <c r="G208" s="126"/>
      <c r="H208" s="126"/>
      <c r="I208" s="126"/>
      <c r="J208" s="126"/>
      <c r="K208" s="126"/>
      <c r="L208" s="75">
        <f t="shared" si="81"/>
        <v>0</v>
      </c>
    </row>
    <row r="209" spans="2:12" x14ac:dyDescent="0.25">
      <c r="B209" s="380"/>
      <c r="C209" s="381"/>
      <c r="D209" s="189" t="s">
        <v>62</v>
      </c>
      <c r="E209" s="129">
        <f>1+1+2+1+7+4</f>
        <v>16</v>
      </c>
      <c r="F209" s="123"/>
      <c r="G209" s="123"/>
      <c r="H209" s="123"/>
      <c r="I209" s="123"/>
      <c r="J209" s="129">
        <f>7+4+15+3+34+8</f>
        <v>71</v>
      </c>
      <c r="K209" s="123"/>
      <c r="L209" s="75">
        <f t="shared" si="81"/>
        <v>87</v>
      </c>
    </row>
    <row r="210" spans="2:12" x14ac:dyDescent="0.25">
      <c r="B210" s="380"/>
      <c r="C210" s="381"/>
      <c r="D210" s="189" t="s">
        <v>63</v>
      </c>
      <c r="E210" s="129">
        <v>4</v>
      </c>
      <c r="F210" s="123"/>
      <c r="G210" s="123"/>
      <c r="H210" s="123"/>
      <c r="I210" s="123"/>
      <c r="J210" s="129">
        <v>11</v>
      </c>
      <c r="K210" s="129">
        <v>9</v>
      </c>
      <c r="L210" s="75">
        <f t="shared" si="81"/>
        <v>24</v>
      </c>
    </row>
    <row r="211" spans="2:12" x14ac:dyDescent="0.25">
      <c r="B211" s="380"/>
      <c r="C211" s="381"/>
      <c r="D211" s="189" t="s">
        <v>64</v>
      </c>
      <c r="E211" s="126"/>
      <c r="F211" s="126"/>
      <c r="G211" s="126"/>
      <c r="H211" s="126"/>
      <c r="I211" s="126"/>
      <c r="J211" s="126"/>
      <c r="K211" s="126"/>
      <c r="L211" s="75">
        <f t="shared" si="81"/>
        <v>0</v>
      </c>
    </row>
    <row r="212" spans="2:12" x14ac:dyDescent="0.25">
      <c r="B212" s="380"/>
      <c r="C212" s="381"/>
      <c r="D212" s="189" t="s">
        <v>65</v>
      </c>
      <c r="E212" s="126"/>
      <c r="F212" s="126"/>
      <c r="G212" s="126"/>
      <c r="H212" s="126"/>
      <c r="I212" s="126"/>
      <c r="J212" s="126"/>
      <c r="K212" s="126"/>
      <c r="L212" s="75">
        <f t="shared" si="81"/>
        <v>0</v>
      </c>
    </row>
    <row r="213" spans="2:12" x14ac:dyDescent="0.25">
      <c r="B213" s="380"/>
      <c r="C213" s="381"/>
      <c r="D213" s="189" t="s">
        <v>66</v>
      </c>
      <c r="E213" s="129">
        <v>1</v>
      </c>
      <c r="F213" s="126"/>
      <c r="G213" s="126"/>
      <c r="H213" s="126"/>
      <c r="I213" s="126"/>
      <c r="J213" s="126"/>
      <c r="K213" s="126"/>
      <c r="L213" s="75">
        <f t="shared" si="81"/>
        <v>1</v>
      </c>
    </row>
    <row r="214" spans="2:12" x14ac:dyDescent="0.25">
      <c r="B214" s="380"/>
      <c r="C214" s="381"/>
      <c r="D214" s="189" t="s">
        <v>67</v>
      </c>
      <c r="E214" s="223">
        <v>15</v>
      </c>
      <c r="F214" s="222"/>
      <c r="G214" s="222"/>
      <c r="H214" s="222"/>
      <c r="I214" s="222"/>
      <c r="J214" s="222"/>
      <c r="K214" s="222"/>
      <c r="L214" s="75">
        <f t="shared" si="81"/>
        <v>15</v>
      </c>
    </row>
    <row r="215" spans="2:12" x14ac:dyDescent="0.25">
      <c r="B215" s="377" t="s">
        <v>15</v>
      </c>
      <c r="C215" s="378"/>
      <c r="D215" s="379"/>
      <c r="E215" s="250">
        <f>SUM(E203:E214)</f>
        <v>133</v>
      </c>
      <c r="F215" s="250">
        <f t="shared" ref="F215" si="88">SUM(F203:F214)</f>
        <v>0</v>
      </c>
      <c r="G215" s="250">
        <f t="shared" ref="G215" si="89">SUM(G203:G214)</f>
        <v>0</v>
      </c>
      <c r="H215" s="250">
        <f t="shared" ref="H215" si="90">SUM(H203:H214)</f>
        <v>0</v>
      </c>
      <c r="I215" s="250">
        <f t="shared" ref="I215" si="91">SUM(I203:I214)</f>
        <v>0</v>
      </c>
      <c r="J215" s="250">
        <f t="shared" ref="J215" si="92">SUM(J203:J214)</f>
        <v>378</v>
      </c>
      <c r="K215" s="250">
        <f t="shared" ref="K215" si="93">SUM(K203:K214)</f>
        <v>16</v>
      </c>
      <c r="L215" s="275">
        <f t="shared" si="81"/>
        <v>527</v>
      </c>
    </row>
    <row r="216" spans="2:12" x14ac:dyDescent="0.25">
      <c r="B216" s="380">
        <v>17</v>
      </c>
      <c r="C216" s="381" t="s">
        <v>36</v>
      </c>
      <c r="D216" s="195" t="s">
        <v>56</v>
      </c>
      <c r="E216" s="229"/>
      <c r="F216" s="230">
        <v>1</v>
      </c>
      <c r="G216" s="229"/>
      <c r="H216" s="229"/>
      <c r="I216" s="229"/>
      <c r="J216" s="229"/>
      <c r="K216" s="229"/>
      <c r="L216" s="75">
        <f t="shared" si="81"/>
        <v>1</v>
      </c>
    </row>
    <row r="217" spans="2:12" x14ac:dyDescent="0.25">
      <c r="B217" s="380"/>
      <c r="C217" s="381"/>
      <c r="D217" s="189" t="s">
        <v>57</v>
      </c>
      <c r="E217" s="126"/>
      <c r="F217" s="126"/>
      <c r="G217" s="126"/>
      <c r="H217" s="126"/>
      <c r="I217" s="126"/>
      <c r="J217" s="126"/>
      <c r="K217" s="126"/>
      <c r="L217" s="75">
        <f t="shared" si="81"/>
        <v>0</v>
      </c>
    </row>
    <row r="218" spans="2:12" x14ac:dyDescent="0.25">
      <c r="B218" s="380"/>
      <c r="C218" s="381"/>
      <c r="D218" s="189" t="s">
        <v>58</v>
      </c>
      <c r="E218" s="129">
        <v>2</v>
      </c>
      <c r="F218" s="126"/>
      <c r="G218" s="126"/>
      <c r="H218" s="126"/>
      <c r="I218" s="126"/>
      <c r="J218" s="129">
        <v>6</v>
      </c>
      <c r="K218" s="126"/>
      <c r="L218" s="75">
        <f t="shared" si="81"/>
        <v>8</v>
      </c>
    </row>
    <row r="219" spans="2:12" x14ac:dyDescent="0.25">
      <c r="B219" s="380"/>
      <c r="C219" s="381"/>
      <c r="D219" s="189" t="s">
        <v>59</v>
      </c>
      <c r="E219" s="126"/>
      <c r="F219" s="126"/>
      <c r="G219" s="126"/>
      <c r="H219" s="126"/>
      <c r="I219" s="126"/>
      <c r="J219" s="126"/>
      <c r="K219" s="126"/>
      <c r="L219" s="75">
        <f t="shared" si="81"/>
        <v>0</v>
      </c>
    </row>
    <row r="220" spans="2:12" x14ac:dyDescent="0.25">
      <c r="B220" s="380"/>
      <c r="C220" s="381"/>
      <c r="D220" s="189" t="s">
        <v>60</v>
      </c>
      <c r="E220" s="126"/>
      <c r="F220" s="126"/>
      <c r="G220" s="126"/>
      <c r="H220" s="126"/>
      <c r="I220" s="126"/>
      <c r="J220" s="126"/>
      <c r="K220" s="126"/>
      <c r="L220" s="75">
        <f t="shared" si="81"/>
        <v>0</v>
      </c>
    </row>
    <row r="221" spans="2:12" x14ac:dyDescent="0.25">
      <c r="B221" s="380"/>
      <c r="C221" s="381"/>
      <c r="D221" s="189" t="s">
        <v>61</v>
      </c>
      <c r="E221" s="126"/>
      <c r="F221" s="126"/>
      <c r="G221" s="126"/>
      <c r="H221" s="126"/>
      <c r="I221" s="126"/>
      <c r="J221" s="126"/>
      <c r="K221" s="126"/>
      <c r="L221" s="75">
        <f t="shared" si="81"/>
        <v>0</v>
      </c>
    </row>
    <row r="222" spans="2:12" x14ac:dyDescent="0.25">
      <c r="B222" s="380"/>
      <c r="C222" s="381"/>
      <c r="D222" s="189" t="s">
        <v>62</v>
      </c>
      <c r="E222" s="129">
        <v>6</v>
      </c>
      <c r="F222" s="126"/>
      <c r="G222" s="126"/>
      <c r="H222" s="126"/>
      <c r="I222" s="126"/>
      <c r="J222" s="129">
        <v>24</v>
      </c>
      <c r="K222" s="126"/>
      <c r="L222" s="75">
        <f t="shared" si="81"/>
        <v>30</v>
      </c>
    </row>
    <row r="223" spans="2:12" x14ac:dyDescent="0.25">
      <c r="B223" s="380"/>
      <c r="C223" s="381"/>
      <c r="D223" s="189" t="s">
        <v>63</v>
      </c>
      <c r="E223" s="129">
        <v>6</v>
      </c>
      <c r="F223" s="126"/>
      <c r="G223" s="126"/>
      <c r="H223" s="126"/>
      <c r="I223" s="126"/>
      <c r="J223" s="126"/>
      <c r="K223" s="126"/>
      <c r="L223" s="75">
        <f t="shared" si="81"/>
        <v>6</v>
      </c>
    </row>
    <row r="224" spans="2:12" x14ac:dyDescent="0.25">
      <c r="B224" s="380"/>
      <c r="C224" s="381"/>
      <c r="D224" s="189" t="s">
        <v>64</v>
      </c>
      <c r="E224" s="126"/>
      <c r="F224" s="126"/>
      <c r="G224" s="126"/>
      <c r="H224" s="126"/>
      <c r="I224" s="126"/>
      <c r="J224" s="126"/>
      <c r="K224" s="126"/>
      <c r="L224" s="75">
        <f t="shared" si="81"/>
        <v>0</v>
      </c>
    </row>
    <row r="225" spans="2:12" x14ac:dyDescent="0.25">
      <c r="B225" s="380"/>
      <c r="C225" s="381"/>
      <c r="D225" s="189" t="s">
        <v>65</v>
      </c>
      <c r="E225" s="126"/>
      <c r="F225" s="126"/>
      <c r="G225" s="126"/>
      <c r="H225" s="126"/>
      <c r="I225" s="126"/>
      <c r="J225" s="126"/>
      <c r="K225" s="126"/>
      <c r="L225" s="75">
        <f t="shared" si="81"/>
        <v>0</v>
      </c>
    </row>
    <row r="226" spans="2:12" x14ac:dyDescent="0.25">
      <c r="B226" s="380"/>
      <c r="C226" s="381"/>
      <c r="D226" s="189" t="s">
        <v>66</v>
      </c>
      <c r="E226" s="126"/>
      <c r="F226" s="126"/>
      <c r="G226" s="126"/>
      <c r="H226" s="126"/>
      <c r="I226" s="126"/>
      <c r="J226" s="126"/>
      <c r="K226" s="126"/>
      <c r="L226" s="75">
        <f t="shared" si="81"/>
        <v>0</v>
      </c>
    </row>
    <row r="227" spans="2:12" x14ac:dyDescent="0.25">
      <c r="B227" s="380"/>
      <c r="C227" s="381"/>
      <c r="D227" s="189" t="s">
        <v>67</v>
      </c>
      <c r="E227" s="222"/>
      <c r="F227" s="222"/>
      <c r="G227" s="222"/>
      <c r="H227" s="222"/>
      <c r="I227" s="222"/>
      <c r="J227" s="222"/>
      <c r="K227" s="222"/>
      <c r="L227" s="75">
        <f t="shared" si="81"/>
        <v>0</v>
      </c>
    </row>
    <row r="228" spans="2:12" x14ac:dyDescent="0.25">
      <c r="B228" s="377" t="s">
        <v>15</v>
      </c>
      <c r="C228" s="378"/>
      <c r="D228" s="379"/>
      <c r="E228" s="250">
        <f>SUM(E216:E227)</f>
        <v>14</v>
      </c>
      <c r="F228" s="250">
        <f t="shared" ref="F228" si="94">SUM(F216:F227)</f>
        <v>1</v>
      </c>
      <c r="G228" s="250">
        <f t="shared" ref="G228" si="95">SUM(G216:G227)</f>
        <v>0</v>
      </c>
      <c r="H228" s="250">
        <f t="shared" ref="H228" si="96">SUM(H216:H227)</f>
        <v>0</v>
      </c>
      <c r="I228" s="250">
        <f t="shared" ref="I228" si="97">SUM(I216:I227)</f>
        <v>0</v>
      </c>
      <c r="J228" s="250">
        <f t="shared" ref="J228" si="98">SUM(J216:J227)</f>
        <v>30</v>
      </c>
      <c r="K228" s="250">
        <f t="shared" ref="K228" si="99">SUM(K216:K227)</f>
        <v>0</v>
      </c>
      <c r="L228" s="275">
        <f t="shared" si="81"/>
        <v>45</v>
      </c>
    </row>
    <row r="229" spans="2:12" x14ac:dyDescent="0.25">
      <c r="B229" s="380">
        <v>18</v>
      </c>
      <c r="C229" s="381" t="s">
        <v>34</v>
      </c>
      <c r="D229" s="189" t="s">
        <v>56</v>
      </c>
      <c r="E229" s="207"/>
      <c r="F229" s="207"/>
      <c r="G229" s="207"/>
      <c r="H229" s="207"/>
      <c r="I229" s="207"/>
      <c r="J229" s="207"/>
      <c r="K229" s="207"/>
      <c r="L229" s="75">
        <f t="shared" si="81"/>
        <v>0</v>
      </c>
    </row>
    <row r="230" spans="2:12" x14ac:dyDescent="0.25">
      <c r="B230" s="380"/>
      <c r="C230" s="381"/>
      <c r="D230" s="189" t="s">
        <v>57</v>
      </c>
      <c r="E230" s="126"/>
      <c r="F230" s="126"/>
      <c r="G230" s="126"/>
      <c r="H230" s="126"/>
      <c r="I230" s="126"/>
      <c r="J230" s="126"/>
      <c r="K230" s="126"/>
      <c r="L230" s="75">
        <f t="shared" si="81"/>
        <v>0</v>
      </c>
    </row>
    <row r="231" spans="2:12" x14ac:dyDescent="0.25">
      <c r="B231" s="380"/>
      <c r="C231" s="381"/>
      <c r="D231" s="189" t="s">
        <v>58</v>
      </c>
      <c r="E231" s="129">
        <f>3+2+2</f>
        <v>7</v>
      </c>
      <c r="F231" s="126"/>
      <c r="G231" s="126"/>
      <c r="H231" s="126"/>
      <c r="I231" s="126"/>
      <c r="J231" s="129">
        <v>2</v>
      </c>
      <c r="K231" s="126"/>
      <c r="L231" s="75">
        <f t="shared" si="81"/>
        <v>9</v>
      </c>
    </row>
    <row r="232" spans="2:12" x14ac:dyDescent="0.25">
      <c r="B232" s="380"/>
      <c r="C232" s="381"/>
      <c r="D232" s="189" t="s">
        <v>59</v>
      </c>
      <c r="E232" s="126"/>
      <c r="F232" s="126"/>
      <c r="G232" s="126"/>
      <c r="H232" s="126"/>
      <c r="I232" s="126"/>
      <c r="J232" s="126"/>
      <c r="K232" s="126"/>
      <c r="L232" s="75">
        <f t="shared" si="81"/>
        <v>0</v>
      </c>
    </row>
    <row r="233" spans="2:12" x14ac:dyDescent="0.25">
      <c r="B233" s="380"/>
      <c r="C233" s="381"/>
      <c r="D233" s="189" t="s">
        <v>60</v>
      </c>
      <c r="E233" s="126"/>
      <c r="F233" s="126"/>
      <c r="G233" s="126"/>
      <c r="H233" s="126"/>
      <c r="I233" s="126"/>
      <c r="J233" s="126"/>
      <c r="K233" s="126"/>
      <c r="L233" s="75">
        <f t="shared" si="81"/>
        <v>0</v>
      </c>
    </row>
    <row r="234" spans="2:12" x14ac:dyDescent="0.25">
      <c r="B234" s="380"/>
      <c r="C234" s="381"/>
      <c r="D234" s="189" t="s">
        <v>61</v>
      </c>
      <c r="E234" s="126"/>
      <c r="F234" s="126"/>
      <c r="G234" s="126"/>
      <c r="H234" s="126"/>
      <c r="I234" s="126"/>
      <c r="J234" s="126"/>
      <c r="K234" s="126"/>
      <c r="L234" s="75">
        <f t="shared" si="81"/>
        <v>0</v>
      </c>
    </row>
    <row r="235" spans="2:12" x14ac:dyDescent="0.25">
      <c r="B235" s="380"/>
      <c r="C235" s="381"/>
      <c r="D235" s="189" t="s">
        <v>62</v>
      </c>
      <c r="E235" s="129">
        <f>1+1+2</f>
        <v>4</v>
      </c>
      <c r="F235" s="123"/>
      <c r="G235" s="123"/>
      <c r="H235" s="123"/>
      <c r="I235" s="123"/>
      <c r="J235" s="123"/>
      <c r="K235" s="123"/>
      <c r="L235" s="75">
        <f t="shared" si="81"/>
        <v>4</v>
      </c>
    </row>
    <row r="236" spans="2:12" x14ac:dyDescent="0.25">
      <c r="B236" s="380"/>
      <c r="C236" s="381"/>
      <c r="D236" s="189" t="s">
        <v>63</v>
      </c>
      <c r="E236" s="126"/>
      <c r="F236" s="126"/>
      <c r="G236" s="126"/>
      <c r="H236" s="126"/>
      <c r="I236" s="126"/>
      <c r="J236" s="126"/>
      <c r="K236" s="126"/>
      <c r="L236" s="75">
        <f t="shared" si="81"/>
        <v>0</v>
      </c>
    </row>
    <row r="237" spans="2:12" x14ac:dyDescent="0.25">
      <c r="B237" s="380"/>
      <c r="C237" s="381"/>
      <c r="D237" s="189" t="s">
        <v>64</v>
      </c>
      <c r="E237" s="129">
        <f>6+2+1</f>
        <v>9</v>
      </c>
      <c r="F237" s="126"/>
      <c r="G237" s="126"/>
      <c r="H237" s="126"/>
      <c r="I237" s="126"/>
      <c r="J237" s="129">
        <v>1</v>
      </c>
      <c r="K237" s="126"/>
      <c r="L237" s="75">
        <f t="shared" si="81"/>
        <v>10</v>
      </c>
    </row>
    <row r="238" spans="2:12" x14ac:dyDescent="0.25">
      <c r="B238" s="380"/>
      <c r="C238" s="381"/>
      <c r="D238" s="189" t="s">
        <v>65</v>
      </c>
      <c r="E238" s="126"/>
      <c r="F238" s="126"/>
      <c r="G238" s="126"/>
      <c r="H238" s="126"/>
      <c r="I238" s="126"/>
      <c r="J238" s="126"/>
      <c r="K238" s="126"/>
      <c r="L238" s="75">
        <f t="shared" si="81"/>
        <v>0</v>
      </c>
    </row>
    <row r="239" spans="2:12" x14ac:dyDescent="0.25">
      <c r="B239" s="380"/>
      <c r="C239" s="381"/>
      <c r="D239" s="189" t="s">
        <v>66</v>
      </c>
      <c r="E239" s="126"/>
      <c r="F239" s="126"/>
      <c r="G239" s="126"/>
      <c r="H239" s="126"/>
      <c r="I239" s="126"/>
      <c r="J239" s="126"/>
      <c r="K239" s="126"/>
      <c r="L239" s="75">
        <f t="shared" si="81"/>
        <v>0</v>
      </c>
    </row>
    <row r="240" spans="2:12" x14ac:dyDescent="0.25">
      <c r="B240" s="380"/>
      <c r="C240" s="381"/>
      <c r="D240" s="189" t="s">
        <v>67</v>
      </c>
      <c r="E240" s="222"/>
      <c r="F240" s="222"/>
      <c r="G240" s="222"/>
      <c r="H240" s="222"/>
      <c r="I240" s="222"/>
      <c r="J240" s="222"/>
      <c r="K240" s="222"/>
      <c r="L240" s="75">
        <f t="shared" si="81"/>
        <v>0</v>
      </c>
    </row>
    <row r="241" spans="2:12" x14ac:dyDescent="0.25">
      <c r="B241" s="377" t="s">
        <v>15</v>
      </c>
      <c r="C241" s="378"/>
      <c r="D241" s="379"/>
      <c r="E241" s="250">
        <f>SUM(E229:E240)</f>
        <v>20</v>
      </c>
      <c r="F241" s="250">
        <f t="shared" ref="F241" si="100">SUM(F229:F240)</f>
        <v>0</v>
      </c>
      <c r="G241" s="250">
        <f t="shared" ref="G241" si="101">SUM(G229:G240)</f>
        <v>0</v>
      </c>
      <c r="H241" s="250">
        <f t="shared" ref="H241" si="102">SUM(H229:H240)</f>
        <v>0</v>
      </c>
      <c r="I241" s="250">
        <f t="shared" ref="I241" si="103">SUM(I229:I240)</f>
        <v>0</v>
      </c>
      <c r="J241" s="250">
        <f t="shared" ref="J241" si="104">SUM(J229:J240)</f>
        <v>3</v>
      </c>
      <c r="K241" s="250">
        <f t="shared" ref="K241" si="105">SUM(K229:K240)</f>
        <v>0</v>
      </c>
      <c r="L241" s="275">
        <f t="shared" si="81"/>
        <v>23</v>
      </c>
    </row>
    <row r="242" spans="2:12" x14ac:dyDescent="0.25">
      <c r="B242" s="380">
        <v>19</v>
      </c>
      <c r="C242" s="381" t="s">
        <v>38</v>
      </c>
      <c r="D242" s="189" t="s">
        <v>56</v>
      </c>
      <c r="E242" s="208">
        <f>140+733+32+144+142+299</f>
        <v>1490</v>
      </c>
      <c r="F242" s="176"/>
      <c r="G242" s="176"/>
      <c r="H242" s="176"/>
      <c r="I242" s="176"/>
      <c r="J242" s="208">
        <f>678+140+484+768</f>
        <v>2070</v>
      </c>
      <c r="K242" s="208">
        <f>140+64+148+5</f>
        <v>357</v>
      </c>
      <c r="L242" s="75">
        <f t="shared" si="81"/>
        <v>3917</v>
      </c>
    </row>
    <row r="243" spans="2:12" x14ac:dyDescent="0.25">
      <c r="B243" s="380"/>
      <c r="C243" s="381"/>
      <c r="D243" s="189" t="s">
        <v>57</v>
      </c>
      <c r="E243" s="126"/>
      <c r="F243" s="126"/>
      <c r="G243" s="126"/>
      <c r="H243" s="126"/>
      <c r="I243" s="126"/>
      <c r="J243" s="126"/>
      <c r="K243" s="126"/>
      <c r="L243" s="75">
        <f t="shared" si="81"/>
        <v>0</v>
      </c>
    </row>
    <row r="244" spans="2:12" x14ac:dyDescent="0.25">
      <c r="B244" s="380"/>
      <c r="C244" s="381"/>
      <c r="D244" s="189" t="s">
        <v>58</v>
      </c>
      <c r="E244" s="126"/>
      <c r="F244" s="126"/>
      <c r="G244" s="126"/>
      <c r="H244" s="126"/>
      <c r="I244" s="126"/>
      <c r="J244" s="126"/>
      <c r="K244" s="126"/>
      <c r="L244" s="75">
        <f t="shared" si="81"/>
        <v>0</v>
      </c>
    </row>
    <row r="245" spans="2:12" x14ac:dyDescent="0.25">
      <c r="B245" s="380"/>
      <c r="C245" s="381"/>
      <c r="D245" s="189" t="s">
        <v>59</v>
      </c>
      <c r="E245" s="126"/>
      <c r="F245" s="126"/>
      <c r="G245" s="126"/>
      <c r="H245" s="126"/>
      <c r="I245" s="126"/>
      <c r="J245" s="126"/>
      <c r="K245" s="126"/>
      <c r="L245" s="75">
        <f t="shared" si="81"/>
        <v>0</v>
      </c>
    </row>
    <row r="246" spans="2:12" x14ac:dyDescent="0.25">
      <c r="B246" s="380"/>
      <c r="C246" s="381"/>
      <c r="D246" s="189" t="s">
        <v>60</v>
      </c>
      <c r="E246" s="126"/>
      <c r="F246" s="126"/>
      <c r="G246" s="126"/>
      <c r="H246" s="126"/>
      <c r="I246" s="126"/>
      <c r="J246" s="126"/>
      <c r="K246" s="126"/>
      <c r="L246" s="75">
        <f t="shared" si="81"/>
        <v>0</v>
      </c>
    </row>
    <row r="247" spans="2:12" x14ac:dyDescent="0.25">
      <c r="B247" s="380"/>
      <c r="C247" s="381"/>
      <c r="D247" s="189" t="s">
        <v>61</v>
      </c>
      <c r="E247" s="126"/>
      <c r="F247" s="126"/>
      <c r="G247" s="126"/>
      <c r="H247" s="126"/>
      <c r="I247" s="126"/>
      <c r="J247" s="126"/>
      <c r="K247" s="126"/>
      <c r="L247" s="75">
        <f t="shared" si="81"/>
        <v>0</v>
      </c>
    </row>
    <row r="248" spans="2:12" x14ac:dyDescent="0.25">
      <c r="B248" s="380"/>
      <c r="C248" s="381"/>
      <c r="D248" s="189" t="s">
        <v>62</v>
      </c>
      <c r="E248" s="129">
        <f>3+2+1+3+3+1</f>
        <v>13</v>
      </c>
      <c r="F248" s="129">
        <v>1</v>
      </c>
      <c r="G248" s="123"/>
      <c r="H248" s="123"/>
      <c r="I248" s="123"/>
      <c r="J248" s="129">
        <f>10+1+7+6+3</f>
        <v>27</v>
      </c>
      <c r="K248" s="129">
        <f>5+5+8</f>
        <v>18</v>
      </c>
      <c r="L248" s="75">
        <f t="shared" si="81"/>
        <v>59</v>
      </c>
    </row>
    <row r="249" spans="2:12" x14ac:dyDescent="0.25">
      <c r="B249" s="380"/>
      <c r="C249" s="381"/>
      <c r="D249" s="189" t="s">
        <v>63</v>
      </c>
      <c r="E249" s="129">
        <f>1+83</f>
        <v>84</v>
      </c>
      <c r="F249" s="123"/>
      <c r="G249" s="123"/>
      <c r="H249" s="123"/>
      <c r="I249" s="123"/>
      <c r="J249" s="129">
        <f>5+366</f>
        <v>371</v>
      </c>
      <c r="K249" s="129">
        <v>13</v>
      </c>
      <c r="L249" s="75">
        <f t="shared" si="81"/>
        <v>468</v>
      </c>
    </row>
    <row r="250" spans="2:12" x14ac:dyDescent="0.25">
      <c r="B250" s="380"/>
      <c r="C250" s="381"/>
      <c r="D250" s="189" t="s">
        <v>64</v>
      </c>
      <c r="E250" s="126"/>
      <c r="F250" s="126"/>
      <c r="G250" s="126"/>
      <c r="H250" s="126"/>
      <c r="I250" s="126"/>
      <c r="J250" s="126"/>
      <c r="K250" s="126"/>
      <c r="L250" s="75">
        <f t="shared" si="81"/>
        <v>0</v>
      </c>
    </row>
    <row r="251" spans="2:12" x14ac:dyDescent="0.25">
      <c r="B251" s="380"/>
      <c r="C251" s="381"/>
      <c r="D251" s="189" t="s">
        <v>65</v>
      </c>
      <c r="E251" s="126"/>
      <c r="F251" s="126"/>
      <c r="G251" s="126"/>
      <c r="H251" s="126"/>
      <c r="I251" s="126"/>
      <c r="J251" s="126"/>
      <c r="K251" s="126"/>
      <c r="L251" s="75">
        <f t="shared" si="81"/>
        <v>0</v>
      </c>
    </row>
    <row r="252" spans="2:12" x14ac:dyDescent="0.25">
      <c r="B252" s="380"/>
      <c r="C252" s="381"/>
      <c r="D252" s="189" t="s">
        <v>66</v>
      </c>
      <c r="E252" s="126"/>
      <c r="F252" s="126"/>
      <c r="G252" s="126"/>
      <c r="H252" s="126"/>
      <c r="I252" s="126"/>
      <c r="J252" s="126"/>
      <c r="K252" s="126"/>
      <c r="L252" s="75">
        <f t="shared" si="81"/>
        <v>0</v>
      </c>
    </row>
    <row r="253" spans="2:12" x14ac:dyDescent="0.25">
      <c r="B253" s="380"/>
      <c r="C253" s="381"/>
      <c r="D253" s="189" t="s">
        <v>67</v>
      </c>
      <c r="E253" s="222"/>
      <c r="F253" s="222"/>
      <c r="G253" s="222"/>
      <c r="H253" s="222"/>
      <c r="I253" s="222"/>
      <c r="J253" s="222"/>
      <c r="K253" s="222"/>
      <c r="L253" s="75">
        <f t="shared" si="81"/>
        <v>0</v>
      </c>
    </row>
    <row r="254" spans="2:12" x14ac:dyDescent="0.25">
      <c r="B254" s="377" t="s">
        <v>15</v>
      </c>
      <c r="C254" s="378"/>
      <c r="D254" s="379"/>
      <c r="E254" s="250">
        <f>SUM(E242:E253)</f>
        <v>1587</v>
      </c>
      <c r="F254" s="250">
        <f t="shared" ref="F254" si="106">SUM(F242:F253)</f>
        <v>1</v>
      </c>
      <c r="G254" s="250">
        <f t="shared" ref="G254" si="107">SUM(G242:G253)</f>
        <v>0</v>
      </c>
      <c r="H254" s="250">
        <f t="shared" ref="H254" si="108">SUM(H242:H253)</f>
        <v>0</v>
      </c>
      <c r="I254" s="250">
        <f t="shared" ref="I254" si="109">SUM(I242:I253)</f>
        <v>0</v>
      </c>
      <c r="J254" s="250">
        <f t="shared" ref="J254" si="110">SUM(J242:J253)</f>
        <v>2468</v>
      </c>
      <c r="K254" s="250">
        <f t="shared" ref="K254" si="111">SUM(K242:K253)</f>
        <v>388</v>
      </c>
      <c r="L254" s="275">
        <f t="shared" si="81"/>
        <v>4444</v>
      </c>
    </row>
    <row r="255" spans="2:12" x14ac:dyDescent="0.25">
      <c r="B255" s="380">
        <v>20</v>
      </c>
      <c r="C255" s="381" t="s">
        <v>35</v>
      </c>
      <c r="D255" s="189" t="s">
        <v>56</v>
      </c>
      <c r="E255" s="207"/>
      <c r="F255" s="207"/>
      <c r="G255" s="207"/>
      <c r="H255" s="207"/>
      <c r="I255" s="207"/>
      <c r="J255" s="207"/>
      <c r="K255" s="207"/>
      <c r="L255" s="75">
        <f t="shared" si="81"/>
        <v>0</v>
      </c>
    </row>
    <row r="256" spans="2:12" x14ac:dyDescent="0.25">
      <c r="B256" s="380"/>
      <c r="C256" s="381"/>
      <c r="D256" s="189" t="s">
        <v>57</v>
      </c>
      <c r="E256" s="126"/>
      <c r="F256" s="126"/>
      <c r="G256" s="126"/>
      <c r="H256" s="126"/>
      <c r="I256" s="126"/>
      <c r="J256" s="126"/>
      <c r="K256" s="126"/>
      <c r="L256" s="75">
        <f t="shared" si="81"/>
        <v>0</v>
      </c>
    </row>
    <row r="257" spans="2:12" x14ac:dyDescent="0.25">
      <c r="B257" s="380"/>
      <c r="C257" s="381"/>
      <c r="D257" s="189" t="s">
        <v>58</v>
      </c>
      <c r="E257" s="129">
        <v>58</v>
      </c>
      <c r="F257" s="123"/>
      <c r="G257" s="123"/>
      <c r="H257" s="123"/>
      <c r="I257" s="123"/>
      <c r="J257" s="123"/>
      <c r="K257" s="123"/>
      <c r="L257" s="75">
        <f t="shared" si="81"/>
        <v>58</v>
      </c>
    </row>
    <row r="258" spans="2:12" x14ac:dyDescent="0.25">
      <c r="B258" s="380"/>
      <c r="C258" s="381"/>
      <c r="D258" s="189" t="s">
        <v>59</v>
      </c>
      <c r="E258" s="126"/>
      <c r="F258" s="126"/>
      <c r="G258" s="126"/>
      <c r="H258" s="126"/>
      <c r="I258" s="126"/>
      <c r="J258" s="126"/>
      <c r="K258" s="126"/>
      <c r="L258" s="75">
        <f t="shared" si="81"/>
        <v>0</v>
      </c>
    </row>
    <row r="259" spans="2:12" x14ac:dyDescent="0.25">
      <c r="B259" s="380"/>
      <c r="C259" s="381"/>
      <c r="D259" s="189" t="s">
        <v>60</v>
      </c>
      <c r="E259" s="126"/>
      <c r="F259" s="126"/>
      <c r="G259" s="126"/>
      <c r="H259" s="126"/>
      <c r="I259" s="126"/>
      <c r="J259" s="126"/>
      <c r="K259" s="126"/>
      <c r="L259" s="75">
        <f t="shared" si="81"/>
        <v>0</v>
      </c>
    </row>
    <row r="260" spans="2:12" x14ac:dyDescent="0.25">
      <c r="B260" s="380"/>
      <c r="C260" s="381"/>
      <c r="D260" s="189" t="s">
        <v>61</v>
      </c>
      <c r="E260" s="126"/>
      <c r="F260" s="126"/>
      <c r="G260" s="126"/>
      <c r="H260" s="126"/>
      <c r="I260" s="126"/>
      <c r="J260" s="126"/>
      <c r="K260" s="126"/>
      <c r="L260" s="75">
        <f t="shared" si="81"/>
        <v>0</v>
      </c>
    </row>
    <row r="261" spans="2:12" x14ac:dyDescent="0.25">
      <c r="B261" s="380"/>
      <c r="C261" s="381"/>
      <c r="D261" s="189" t="s">
        <v>62</v>
      </c>
      <c r="E261" s="129">
        <f>3+1+1</f>
        <v>5</v>
      </c>
      <c r="F261" s="123"/>
      <c r="G261" s="123"/>
      <c r="H261" s="123"/>
      <c r="I261" s="123"/>
      <c r="J261" s="123"/>
      <c r="K261" s="123"/>
      <c r="L261" s="75">
        <f t="shared" si="81"/>
        <v>5</v>
      </c>
    </row>
    <row r="262" spans="2:12" x14ac:dyDescent="0.25">
      <c r="B262" s="380"/>
      <c r="C262" s="381"/>
      <c r="D262" s="189" t="s">
        <v>63</v>
      </c>
      <c r="E262" s="126"/>
      <c r="F262" s="126"/>
      <c r="G262" s="126"/>
      <c r="H262" s="126"/>
      <c r="I262" s="126"/>
      <c r="J262" s="126"/>
      <c r="K262" s="126"/>
      <c r="L262" s="75">
        <f t="shared" si="81"/>
        <v>0</v>
      </c>
    </row>
    <row r="263" spans="2:12" x14ac:dyDescent="0.25">
      <c r="B263" s="380"/>
      <c r="C263" s="381"/>
      <c r="D263" s="189" t="s">
        <v>64</v>
      </c>
      <c r="E263" s="126"/>
      <c r="F263" s="126"/>
      <c r="G263" s="126"/>
      <c r="H263" s="126"/>
      <c r="I263" s="126"/>
      <c r="J263" s="126"/>
      <c r="K263" s="126"/>
      <c r="L263" s="75">
        <f t="shared" si="81"/>
        <v>0</v>
      </c>
    </row>
    <row r="264" spans="2:12" x14ac:dyDescent="0.25">
      <c r="B264" s="380"/>
      <c r="C264" s="381"/>
      <c r="D264" s="189" t="s">
        <v>65</v>
      </c>
      <c r="E264" s="126"/>
      <c r="F264" s="126"/>
      <c r="G264" s="126"/>
      <c r="H264" s="126"/>
      <c r="I264" s="126"/>
      <c r="J264" s="126"/>
      <c r="K264" s="126"/>
      <c r="L264" s="75">
        <f t="shared" si="81"/>
        <v>0</v>
      </c>
    </row>
    <row r="265" spans="2:12" x14ac:dyDescent="0.25">
      <c r="B265" s="380"/>
      <c r="C265" s="381"/>
      <c r="D265" s="189" t="s">
        <v>66</v>
      </c>
      <c r="E265" s="126"/>
      <c r="F265" s="126"/>
      <c r="G265" s="126"/>
      <c r="H265" s="126"/>
      <c r="I265" s="126"/>
      <c r="J265" s="126"/>
      <c r="K265" s="126"/>
      <c r="L265" s="75">
        <f t="shared" ref="L265:L319" si="112">SUM(E265:K265)</f>
        <v>0</v>
      </c>
    </row>
    <row r="266" spans="2:12" x14ac:dyDescent="0.25">
      <c r="B266" s="380"/>
      <c r="C266" s="381"/>
      <c r="D266" s="189" t="s">
        <v>67</v>
      </c>
      <c r="E266" s="222"/>
      <c r="F266" s="222"/>
      <c r="G266" s="222"/>
      <c r="H266" s="222"/>
      <c r="I266" s="222"/>
      <c r="J266" s="222"/>
      <c r="K266" s="222"/>
      <c r="L266" s="75">
        <f t="shared" si="112"/>
        <v>0</v>
      </c>
    </row>
    <row r="267" spans="2:12" x14ac:dyDescent="0.25">
      <c r="B267" s="377" t="s">
        <v>15</v>
      </c>
      <c r="C267" s="378"/>
      <c r="D267" s="379"/>
      <c r="E267" s="250">
        <f>SUM(E255:E266)</f>
        <v>63</v>
      </c>
      <c r="F267" s="250">
        <f t="shared" ref="F267" si="113">SUM(F255:F266)</f>
        <v>0</v>
      </c>
      <c r="G267" s="250">
        <f t="shared" ref="G267" si="114">SUM(G255:G266)</f>
        <v>0</v>
      </c>
      <c r="H267" s="250">
        <f t="shared" ref="H267" si="115">SUM(H255:H266)</f>
        <v>0</v>
      </c>
      <c r="I267" s="250">
        <f t="shared" ref="I267" si="116">SUM(I255:I266)</f>
        <v>0</v>
      </c>
      <c r="J267" s="250">
        <f t="shared" ref="J267" si="117">SUM(J255:J266)</f>
        <v>0</v>
      </c>
      <c r="K267" s="250">
        <f t="shared" ref="K267" si="118">SUM(K255:K266)</f>
        <v>0</v>
      </c>
      <c r="L267" s="275">
        <f t="shared" si="112"/>
        <v>63</v>
      </c>
    </row>
    <row r="268" spans="2:12" x14ac:dyDescent="0.25">
      <c r="B268" s="380">
        <v>21</v>
      </c>
      <c r="C268" s="400" t="s">
        <v>39</v>
      </c>
      <c r="D268" s="189" t="s">
        <v>56</v>
      </c>
      <c r="E268" s="207"/>
      <c r="F268" s="207"/>
      <c r="G268" s="207"/>
      <c r="H268" s="207"/>
      <c r="I268" s="207"/>
      <c r="J268" s="207"/>
      <c r="K268" s="207"/>
      <c r="L268" s="75">
        <f t="shared" si="112"/>
        <v>0</v>
      </c>
    </row>
    <row r="269" spans="2:12" x14ac:dyDescent="0.25">
      <c r="B269" s="380"/>
      <c r="C269" s="400"/>
      <c r="D269" s="189" t="s">
        <v>57</v>
      </c>
      <c r="E269" s="126"/>
      <c r="F269" s="126"/>
      <c r="G269" s="126"/>
      <c r="H269" s="126"/>
      <c r="I269" s="126"/>
      <c r="J269" s="126"/>
      <c r="K269" s="126"/>
      <c r="L269" s="75">
        <f t="shared" si="112"/>
        <v>0</v>
      </c>
    </row>
    <row r="270" spans="2:12" x14ac:dyDescent="0.25">
      <c r="B270" s="380"/>
      <c r="C270" s="400"/>
      <c r="D270" s="189" t="s">
        <v>58</v>
      </c>
      <c r="E270" s="129">
        <v>5</v>
      </c>
      <c r="F270" s="126"/>
      <c r="G270" s="126"/>
      <c r="H270" s="126"/>
      <c r="I270" s="126"/>
      <c r="J270" s="129">
        <v>10</v>
      </c>
      <c r="K270" s="126"/>
      <c r="L270" s="75">
        <f t="shared" si="112"/>
        <v>15</v>
      </c>
    </row>
    <row r="271" spans="2:12" x14ac:dyDescent="0.25">
      <c r="B271" s="380"/>
      <c r="C271" s="400"/>
      <c r="D271" s="189" t="s">
        <v>59</v>
      </c>
      <c r="E271" s="126"/>
      <c r="F271" s="126"/>
      <c r="G271" s="126"/>
      <c r="H271" s="126"/>
      <c r="I271" s="126"/>
      <c r="J271" s="126"/>
      <c r="K271" s="126"/>
      <c r="L271" s="75">
        <f t="shared" si="112"/>
        <v>0</v>
      </c>
    </row>
    <row r="272" spans="2:12" x14ac:dyDescent="0.25">
      <c r="B272" s="380"/>
      <c r="C272" s="400"/>
      <c r="D272" s="189" t="s">
        <v>60</v>
      </c>
      <c r="E272" s="126"/>
      <c r="F272" s="126"/>
      <c r="G272" s="126"/>
      <c r="H272" s="126"/>
      <c r="I272" s="126"/>
      <c r="J272" s="126"/>
      <c r="K272" s="126"/>
      <c r="L272" s="75">
        <f t="shared" si="112"/>
        <v>0</v>
      </c>
    </row>
    <row r="273" spans="2:12" x14ac:dyDescent="0.25">
      <c r="B273" s="380"/>
      <c r="C273" s="400"/>
      <c r="D273" s="189" t="s">
        <v>61</v>
      </c>
      <c r="E273" s="123"/>
      <c r="F273" s="123"/>
      <c r="G273" s="123"/>
      <c r="H273" s="123"/>
      <c r="I273" s="123"/>
      <c r="J273" s="123"/>
      <c r="K273" s="123"/>
      <c r="L273" s="75">
        <f t="shared" si="112"/>
        <v>0</v>
      </c>
    </row>
    <row r="274" spans="2:12" x14ac:dyDescent="0.25">
      <c r="B274" s="380"/>
      <c r="C274" s="400"/>
      <c r="D274" s="189" t="s">
        <v>62</v>
      </c>
      <c r="E274" s="129">
        <f>1+6+2+2+2+1</f>
        <v>14</v>
      </c>
      <c r="F274" s="126"/>
      <c r="G274" s="129">
        <v>1</v>
      </c>
      <c r="H274" s="126"/>
      <c r="I274" s="126"/>
      <c r="J274" s="129">
        <f>3+21+2+8+6</f>
        <v>40</v>
      </c>
      <c r="K274" s="126"/>
      <c r="L274" s="75">
        <f t="shared" si="112"/>
        <v>55</v>
      </c>
    </row>
    <row r="275" spans="2:12" x14ac:dyDescent="0.25">
      <c r="B275" s="380"/>
      <c r="C275" s="400"/>
      <c r="D275" s="189" t="s">
        <v>63</v>
      </c>
      <c r="E275" s="129">
        <f>2+6</f>
        <v>8</v>
      </c>
      <c r="F275" s="123"/>
      <c r="G275" s="123"/>
      <c r="H275" s="123"/>
      <c r="I275" s="123"/>
      <c r="J275" s="129">
        <f>8+17</f>
        <v>25</v>
      </c>
      <c r="K275" s="123"/>
      <c r="L275" s="75">
        <f t="shared" si="112"/>
        <v>33</v>
      </c>
    </row>
    <row r="276" spans="2:12" x14ac:dyDescent="0.25">
      <c r="B276" s="380"/>
      <c r="C276" s="400"/>
      <c r="D276" s="189" t="s">
        <v>64</v>
      </c>
      <c r="E276" s="126"/>
      <c r="F276" s="126"/>
      <c r="G276" s="126"/>
      <c r="H276" s="126"/>
      <c r="I276" s="126"/>
      <c r="J276" s="126"/>
      <c r="K276" s="126"/>
      <c r="L276" s="75">
        <f t="shared" si="112"/>
        <v>0</v>
      </c>
    </row>
    <row r="277" spans="2:12" x14ac:dyDescent="0.25">
      <c r="B277" s="380"/>
      <c r="C277" s="400"/>
      <c r="D277" s="189" t="s">
        <v>65</v>
      </c>
      <c r="E277" s="126"/>
      <c r="F277" s="126"/>
      <c r="G277" s="126"/>
      <c r="H277" s="126"/>
      <c r="I277" s="126"/>
      <c r="J277" s="126"/>
      <c r="K277" s="126"/>
      <c r="L277" s="75">
        <f t="shared" si="112"/>
        <v>0</v>
      </c>
    </row>
    <row r="278" spans="2:12" x14ac:dyDescent="0.25">
      <c r="B278" s="380"/>
      <c r="C278" s="400"/>
      <c r="D278" s="189" t="s">
        <v>66</v>
      </c>
      <c r="E278" s="126"/>
      <c r="F278" s="126"/>
      <c r="G278" s="126"/>
      <c r="H278" s="126"/>
      <c r="I278" s="126"/>
      <c r="J278" s="126"/>
      <c r="K278" s="126"/>
      <c r="L278" s="75">
        <f t="shared" si="112"/>
        <v>0</v>
      </c>
    </row>
    <row r="279" spans="2:12" x14ac:dyDescent="0.25">
      <c r="B279" s="380"/>
      <c r="C279" s="400"/>
      <c r="D279" s="189" t="s">
        <v>67</v>
      </c>
      <c r="E279" s="222"/>
      <c r="F279" s="222"/>
      <c r="G279" s="222"/>
      <c r="H279" s="222"/>
      <c r="I279" s="222"/>
      <c r="J279" s="222"/>
      <c r="K279" s="222"/>
      <c r="L279" s="75">
        <f t="shared" si="112"/>
        <v>0</v>
      </c>
    </row>
    <row r="280" spans="2:12" x14ac:dyDescent="0.25">
      <c r="B280" s="377" t="s">
        <v>15</v>
      </c>
      <c r="C280" s="378"/>
      <c r="D280" s="379"/>
      <c r="E280" s="250">
        <f>SUM(E268:E279)</f>
        <v>27</v>
      </c>
      <c r="F280" s="250">
        <f t="shared" ref="F280" si="119">SUM(F268:F279)</f>
        <v>0</v>
      </c>
      <c r="G280" s="250">
        <f t="shared" ref="G280" si="120">SUM(G268:G279)</f>
        <v>1</v>
      </c>
      <c r="H280" s="250">
        <f t="shared" ref="H280" si="121">SUM(H268:H279)</f>
        <v>0</v>
      </c>
      <c r="I280" s="250">
        <f t="shared" ref="I280" si="122">SUM(I268:I279)</f>
        <v>0</v>
      </c>
      <c r="J280" s="250">
        <f t="shared" ref="J280" si="123">SUM(J268:J279)</f>
        <v>75</v>
      </c>
      <c r="K280" s="250">
        <f t="shared" ref="K280" si="124">SUM(K268:K279)</f>
        <v>0</v>
      </c>
      <c r="L280" s="275">
        <f t="shared" si="112"/>
        <v>103</v>
      </c>
    </row>
    <row r="281" spans="2:12" x14ac:dyDescent="0.25">
      <c r="B281" s="380">
        <v>22</v>
      </c>
      <c r="C281" s="381" t="s">
        <v>23</v>
      </c>
      <c r="D281" s="189" t="s">
        <v>56</v>
      </c>
      <c r="E281" s="208">
        <v>1307</v>
      </c>
      <c r="F281" s="208">
        <v>2</v>
      </c>
      <c r="G281" s="207"/>
      <c r="H281" s="207"/>
      <c r="I281" s="207"/>
      <c r="J281" s="208">
        <v>765</v>
      </c>
      <c r="K281" s="208">
        <v>30</v>
      </c>
      <c r="L281" s="75">
        <f t="shared" si="112"/>
        <v>2104</v>
      </c>
    </row>
    <row r="282" spans="2:12" x14ac:dyDescent="0.25">
      <c r="B282" s="380"/>
      <c r="C282" s="381"/>
      <c r="D282" s="189" t="s">
        <v>57</v>
      </c>
      <c r="E282" s="126"/>
      <c r="F282" s="126"/>
      <c r="G282" s="126"/>
      <c r="H282" s="126"/>
      <c r="I282" s="126"/>
      <c r="J282" s="126"/>
      <c r="K282" s="126"/>
      <c r="L282" s="75">
        <f t="shared" si="112"/>
        <v>0</v>
      </c>
    </row>
    <row r="283" spans="2:12" x14ac:dyDescent="0.25">
      <c r="B283" s="380"/>
      <c r="C283" s="381"/>
      <c r="D283" s="189" t="s">
        <v>58</v>
      </c>
      <c r="E283" s="129">
        <v>65</v>
      </c>
      <c r="F283" s="123"/>
      <c r="G283" s="123"/>
      <c r="H283" s="123"/>
      <c r="I283" s="123"/>
      <c r="J283" s="129">
        <v>144</v>
      </c>
      <c r="K283" s="123"/>
      <c r="L283" s="75">
        <f t="shared" si="112"/>
        <v>209</v>
      </c>
    </row>
    <row r="284" spans="2:12" x14ac:dyDescent="0.25">
      <c r="B284" s="380"/>
      <c r="C284" s="381"/>
      <c r="D284" s="189" t="s">
        <v>59</v>
      </c>
      <c r="E284" s="126"/>
      <c r="F284" s="126"/>
      <c r="G284" s="126"/>
      <c r="H284" s="126"/>
      <c r="I284" s="126"/>
      <c r="J284" s="126"/>
      <c r="K284" s="126"/>
      <c r="L284" s="75">
        <f t="shared" si="112"/>
        <v>0</v>
      </c>
    </row>
    <row r="285" spans="2:12" x14ac:dyDescent="0.25">
      <c r="B285" s="380"/>
      <c r="C285" s="381"/>
      <c r="D285" s="189" t="s">
        <v>60</v>
      </c>
      <c r="E285" s="126"/>
      <c r="F285" s="126"/>
      <c r="G285" s="126"/>
      <c r="H285" s="126"/>
      <c r="I285" s="126"/>
      <c r="J285" s="126"/>
      <c r="K285" s="126"/>
      <c r="L285" s="75">
        <f t="shared" si="112"/>
        <v>0</v>
      </c>
    </row>
    <row r="286" spans="2:12" x14ac:dyDescent="0.25">
      <c r="B286" s="380"/>
      <c r="C286" s="381"/>
      <c r="D286" s="189" t="s">
        <v>61</v>
      </c>
      <c r="E286" s="126"/>
      <c r="F286" s="126"/>
      <c r="G286" s="126"/>
      <c r="H286" s="126"/>
      <c r="I286" s="126"/>
      <c r="J286" s="126"/>
      <c r="K286" s="126"/>
      <c r="L286" s="75">
        <f t="shared" si="112"/>
        <v>0</v>
      </c>
    </row>
    <row r="287" spans="2:12" x14ac:dyDescent="0.25">
      <c r="B287" s="380"/>
      <c r="C287" s="381"/>
      <c r="D287" s="189" t="s">
        <v>62</v>
      </c>
      <c r="E287" s="129">
        <f>1+1+1</f>
        <v>3</v>
      </c>
      <c r="F287" s="129">
        <v>1</v>
      </c>
      <c r="G287" s="123"/>
      <c r="H287" s="123"/>
      <c r="I287" s="123"/>
      <c r="J287" s="129">
        <f>5+2+8</f>
        <v>15</v>
      </c>
      <c r="K287" s="129">
        <v>9</v>
      </c>
      <c r="L287" s="75">
        <f t="shared" si="112"/>
        <v>28</v>
      </c>
    </row>
    <row r="288" spans="2:12" x14ac:dyDescent="0.25">
      <c r="B288" s="380"/>
      <c r="C288" s="381"/>
      <c r="D288" s="189" t="s">
        <v>63</v>
      </c>
      <c r="E288" s="129">
        <v>3</v>
      </c>
      <c r="F288" s="123"/>
      <c r="G288" s="123"/>
      <c r="H288" s="123"/>
      <c r="I288" s="123"/>
      <c r="J288" s="129">
        <f>7+4+4</f>
        <v>15</v>
      </c>
      <c r="K288" s="129">
        <v>1</v>
      </c>
      <c r="L288" s="75">
        <f t="shared" si="112"/>
        <v>19</v>
      </c>
    </row>
    <row r="289" spans="2:12" x14ac:dyDescent="0.25">
      <c r="B289" s="380"/>
      <c r="C289" s="381"/>
      <c r="D289" s="189" t="s">
        <v>64</v>
      </c>
      <c r="E289" s="126"/>
      <c r="F289" s="126"/>
      <c r="G289" s="126"/>
      <c r="H289" s="126"/>
      <c r="I289" s="126"/>
      <c r="J289" s="126"/>
      <c r="K289" s="126"/>
      <c r="L289" s="75">
        <f t="shared" si="112"/>
        <v>0</v>
      </c>
    </row>
    <row r="290" spans="2:12" x14ac:dyDescent="0.25">
      <c r="B290" s="380"/>
      <c r="C290" s="381"/>
      <c r="D290" s="189" t="s">
        <v>65</v>
      </c>
      <c r="E290" s="126"/>
      <c r="F290" s="126"/>
      <c r="G290" s="126"/>
      <c r="H290" s="126"/>
      <c r="I290" s="126"/>
      <c r="J290" s="126"/>
      <c r="K290" s="126"/>
      <c r="L290" s="75">
        <f t="shared" si="112"/>
        <v>0</v>
      </c>
    </row>
    <row r="291" spans="2:12" x14ac:dyDescent="0.25">
      <c r="B291" s="380"/>
      <c r="C291" s="381"/>
      <c r="D291" s="189" t="s">
        <v>66</v>
      </c>
      <c r="E291" s="126"/>
      <c r="F291" s="126"/>
      <c r="G291" s="126"/>
      <c r="H291" s="126"/>
      <c r="I291" s="126"/>
      <c r="J291" s="126"/>
      <c r="K291" s="126"/>
      <c r="L291" s="75">
        <f t="shared" si="112"/>
        <v>0</v>
      </c>
    </row>
    <row r="292" spans="2:12" x14ac:dyDescent="0.25">
      <c r="B292" s="380"/>
      <c r="C292" s="381"/>
      <c r="D292" s="189" t="s">
        <v>67</v>
      </c>
      <c r="E292" s="222"/>
      <c r="F292" s="222"/>
      <c r="G292" s="222"/>
      <c r="H292" s="222"/>
      <c r="I292" s="222"/>
      <c r="J292" s="222"/>
      <c r="K292" s="222"/>
      <c r="L292" s="75">
        <f t="shared" si="112"/>
        <v>0</v>
      </c>
    </row>
    <row r="293" spans="2:12" x14ac:dyDescent="0.25">
      <c r="B293" s="377" t="s">
        <v>15</v>
      </c>
      <c r="C293" s="378"/>
      <c r="D293" s="379"/>
      <c r="E293" s="250">
        <f>SUM(E281:E292)</f>
        <v>1378</v>
      </c>
      <c r="F293" s="250">
        <f t="shared" ref="F293" si="125">SUM(F281:F292)</f>
        <v>3</v>
      </c>
      <c r="G293" s="250">
        <f t="shared" ref="G293" si="126">SUM(G281:G292)</f>
        <v>0</v>
      </c>
      <c r="H293" s="250">
        <f t="shared" ref="H293" si="127">SUM(H281:H292)</f>
        <v>0</v>
      </c>
      <c r="I293" s="250">
        <f t="shared" ref="I293" si="128">SUM(I281:I292)</f>
        <v>0</v>
      </c>
      <c r="J293" s="250">
        <f t="shared" ref="J293" si="129">SUM(J281:J292)</f>
        <v>939</v>
      </c>
      <c r="K293" s="250">
        <f t="shared" ref="K293" si="130">SUM(K281:K292)</f>
        <v>40</v>
      </c>
      <c r="L293" s="275">
        <f t="shared" si="112"/>
        <v>2360</v>
      </c>
    </row>
    <row r="294" spans="2:12" x14ac:dyDescent="0.25">
      <c r="B294" s="380">
        <v>23</v>
      </c>
      <c r="C294" s="381" t="s">
        <v>27</v>
      </c>
      <c r="D294" s="189" t="s">
        <v>56</v>
      </c>
      <c r="E294" s="207"/>
      <c r="F294" s="207"/>
      <c r="G294" s="207"/>
      <c r="H294" s="207"/>
      <c r="I294" s="207"/>
      <c r="J294" s="208">
        <v>1</v>
      </c>
      <c r="K294" s="207"/>
      <c r="L294" s="75">
        <f t="shared" si="112"/>
        <v>1</v>
      </c>
    </row>
    <row r="295" spans="2:12" x14ac:dyDescent="0.25">
      <c r="B295" s="380"/>
      <c r="C295" s="381"/>
      <c r="D295" s="189" t="s">
        <v>57</v>
      </c>
      <c r="E295" s="126"/>
      <c r="F295" s="126"/>
      <c r="G295" s="126"/>
      <c r="H295" s="126"/>
      <c r="I295" s="126"/>
      <c r="J295" s="126"/>
      <c r="K295" s="126"/>
      <c r="L295" s="75">
        <f t="shared" si="112"/>
        <v>0</v>
      </c>
    </row>
    <row r="296" spans="2:12" x14ac:dyDescent="0.25">
      <c r="B296" s="380"/>
      <c r="C296" s="381"/>
      <c r="D296" s="189" t="s">
        <v>58</v>
      </c>
      <c r="E296" s="129">
        <v>35</v>
      </c>
      <c r="F296" s="126"/>
      <c r="G296" s="126"/>
      <c r="H296" s="126"/>
      <c r="I296" s="126"/>
      <c r="J296" s="126"/>
      <c r="K296" s="126"/>
      <c r="L296" s="75">
        <f t="shared" si="112"/>
        <v>35</v>
      </c>
    </row>
    <row r="297" spans="2:12" x14ac:dyDescent="0.25">
      <c r="B297" s="380"/>
      <c r="C297" s="381"/>
      <c r="D297" s="189" t="s">
        <v>59</v>
      </c>
      <c r="E297" s="126"/>
      <c r="F297" s="126"/>
      <c r="G297" s="126"/>
      <c r="H297" s="126"/>
      <c r="I297" s="126"/>
      <c r="J297" s="126"/>
      <c r="K297" s="126"/>
      <c r="L297" s="75">
        <f t="shared" si="112"/>
        <v>0</v>
      </c>
    </row>
    <row r="298" spans="2:12" x14ac:dyDescent="0.25">
      <c r="B298" s="380"/>
      <c r="C298" s="381"/>
      <c r="D298" s="189" t="s">
        <v>60</v>
      </c>
      <c r="E298" s="126"/>
      <c r="F298" s="126"/>
      <c r="G298" s="126"/>
      <c r="H298" s="126"/>
      <c r="I298" s="126"/>
      <c r="J298" s="126"/>
      <c r="K298" s="126"/>
      <c r="L298" s="75">
        <f t="shared" si="112"/>
        <v>0</v>
      </c>
    </row>
    <row r="299" spans="2:12" x14ac:dyDescent="0.25">
      <c r="B299" s="380"/>
      <c r="C299" s="381"/>
      <c r="D299" s="189" t="s">
        <v>61</v>
      </c>
      <c r="E299" s="126"/>
      <c r="F299" s="126"/>
      <c r="G299" s="126"/>
      <c r="H299" s="126"/>
      <c r="I299" s="126"/>
      <c r="J299" s="126"/>
      <c r="K299" s="126"/>
      <c r="L299" s="75">
        <f t="shared" si="112"/>
        <v>0</v>
      </c>
    </row>
    <row r="300" spans="2:12" x14ac:dyDescent="0.25">
      <c r="B300" s="380"/>
      <c r="C300" s="381"/>
      <c r="D300" s="189" t="s">
        <v>62</v>
      </c>
      <c r="E300" s="164">
        <f>1+1+1+1+1+1+1</f>
        <v>7</v>
      </c>
      <c r="F300" s="163"/>
      <c r="G300" s="163"/>
      <c r="H300" s="163"/>
      <c r="I300" s="163"/>
      <c r="J300" s="164">
        <v>1</v>
      </c>
      <c r="K300" s="163"/>
      <c r="L300" s="75">
        <f t="shared" si="112"/>
        <v>8</v>
      </c>
    </row>
    <row r="301" spans="2:12" x14ac:dyDescent="0.25">
      <c r="B301" s="380"/>
      <c r="C301" s="381"/>
      <c r="D301" s="189" t="s">
        <v>63</v>
      </c>
      <c r="E301" s="126"/>
      <c r="F301" s="126"/>
      <c r="G301" s="126"/>
      <c r="H301" s="126"/>
      <c r="I301" s="126"/>
      <c r="J301" s="126"/>
      <c r="K301" s="126"/>
      <c r="L301" s="75">
        <f t="shared" si="112"/>
        <v>0</v>
      </c>
    </row>
    <row r="302" spans="2:12" x14ac:dyDescent="0.25">
      <c r="B302" s="380"/>
      <c r="C302" s="381"/>
      <c r="D302" s="189" t="s">
        <v>64</v>
      </c>
      <c r="E302" s="126"/>
      <c r="F302" s="126"/>
      <c r="G302" s="126"/>
      <c r="H302" s="126"/>
      <c r="I302" s="126"/>
      <c r="J302" s="126"/>
      <c r="K302" s="126"/>
      <c r="L302" s="75">
        <f t="shared" si="112"/>
        <v>0</v>
      </c>
    </row>
    <row r="303" spans="2:12" x14ac:dyDescent="0.25">
      <c r="B303" s="380"/>
      <c r="C303" s="381"/>
      <c r="D303" s="189" t="s">
        <v>65</v>
      </c>
      <c r="E303" s="126"/>
      <c r="F303" s="126"/>
      <c r="G303" s="126"/>
      <c r="H303" s="126"/>
      <c r="I303" s="126"/>
      <c r="J303" s="126"/>
      <c r="K303" s="126"/>
      <c r="L303" s="75">
        <f t="shared" si="112"/>
        <v>0</v>
      </c>
    </row>
    <row r="304" spans="2:12" x14ac:dyDescent="0.25">
      <c r="B304" s="380"/>
      <c r="C304" s="381"/>
      <c r="D304" s="189" t="s">
        <v>66</v>
      </c>
      <c r="E304" s="126"/>
      <c r="F304" s="126"/>
      <c r="G304" s="126"/>
      <c r="H304" s="126"/>
      <c r="I304" s="126"/>
      <c r="J304" s="126"/>
      <c r="K304" s="126"/>
      <c r="L304" s="75">
        <f t="shared" si="112"/>
        <v>0</v>
      </c>
    </row>
    <row r="305" spans="2:12" x14ac:dyDescent="0.25">
      <c r="B305" s="380"/>
      <c r="C305" s="381"/>
      <c r="D305" s="189" t="s">
        <v>67</v>
      </c>
      <c r="E305" s="222"/>
      <c r="F305" s="222"/>
      <c r="G305" s="222"/>
      <c r="H305" s="222"/>
      <c r="I305" s="222"/>
      <c r="J305" s="222"/>
      <c r="K305" s="222"/>
      <c r="L305" s="75">
        <f t="shared" si="112"/>
        <v>0</v>
      </c>
    </row>
    <row r="306" spans="2:12" x14ac:dyDescent="0.25">
      <c r="B306" s="377" t="s">
        <v>15</v>
      </c>
      <c r="C306" s="378"/>
      <c r="D306" s="379"/>
      <c r="E306" s="250">
        <f>SUM(E294:E305)</f>
        <v>42</v>
      </c>
      <c r="F306" s="250">
        <f t="shared" ref="F306" si="131">SUM(F294:F305)</f>
        <v>0</v>
      </c>
      <c r="G306" s="250">
        <f t="shared" ref="G306" si="132">SUM(G294:G305)</f>
        <v>0</v>
      </c>
      <c r="H306" s="250">
        <f t="shared" ref="H306" si="133">SUM(H294:H305)</f>
        <v>0</v>
      </c>
      <c r="I306" s="250">
        <f t="shared" ref="I306" si="134">SUM(I294:I305)</f>
        <v>0</v>
      </c>
      <c r="J306" s="250">
        <f t="shared" ref="J306" si="135">SUM(J294:J305)</f>
        <v>2</v>
      </c>
      <c r="K306" s="250">
        <f t="shared" ref="K306" si="136">SUM(K294:K305)</f>
        <v>0</v>
      </c>
      <c r="L306" s="275">
        <f t="shared" si="112"/>
        <v>44</v>
      </c>
    </row>
    <row r="307" spans="2:12" x14ac:dyDescent="0.25">
      <c r="B307" s="380">
        <v>24</v>
      </c>
      <c r="C307" s="381" t="s">
        <v>37</v>
      </c>
      <c r="D307" s="189" t="s">
        <v>56</v>
      </c>
      <c r="E307" s="208">
        <f>63+554</f>
        <v>617</v>
      </c>
      <c r="F307" s="176"/>
      <c r="G307" s="176"/>
      <c r="H307" s="176"/>
      <c r="I307" s="176"/>
      <c r="J307" s="208">
        <v>1869</v>
      </c>
      <c r="K307" s="208">
        <v>233</v>
      </c>
      <c r="L307" s="75">
        <f t="shared" si="112"/>
        <v>2719</v>
      </c>
    </row>
    <row r="308" spans="2:12" x14ac:dyDescent="0.25">
      <c r="B308" s="380"/>
      <c r="C308" s="381"/>
      <c r="D308" s="189" t="s">
        <v>57</v>
      </c>
      <c r="E308" s="126"/>
      <c r="F308" s="126"/>
      <c r="G308" s="126"/>
      <c r="H308" s="126"/>
      <c r="I308" s="126"/>
      <c r="J308" s="126"/>
      <c r="K308" s="126"/>
      <c r="L308" s="75">
        <f t="shared" si="112"/>
        <v>0</v>
      </c>
    </row>
    <row r="309" spans="2:12" x14ac:dyDescent="0.25">
      <c r="B309" s="380"/>
      <c r="C309" s="381"/>
      <c r="D309" s="189" t="s">
        <v>58</v>
      </c>
      <c r="E309" s="126"/>
      <c r="F309" s="126"/>
      <c r="G309" s="126"/>
      <c r="H309" s="126"/>
      <c r="I309" s="126"/>
      <c r="J309" s="126"/>
      <c r="K309" s="126"/>
      <c r="L309" s="75">
        <f t="shared" si="112"/>
        <v>0</v>
      </c>
    </row>
    <row r="310" spans="2:12" x14ac:dyDescent="0.25">
      <c r="B310" s="380"/>
      <c r="C310" s="381"/>
      <c r="D310" s="189" t="s">
        <v>59</v>
      </c>
      <c r="E310" s="126"/>
      <c r="F310" s="126"/>
      <c r="G310" s="126"/>
      <c r="H310" s="126"/>
      <c r="I310" s="126"/>
      <c r="J310" s="126"/>
      <c r="K310" s="126"/>
      <c r="L310" s="75">
        <f t="shared" si="112"/>
        <v>0</v>
      </c>
    </row>
    <row r="311" spans="2:12" x14ac:dyDescent="0.25">
      <c r="B311" s="380"/>
      <c r="C311" s="381"/>
      <c r="D311" s="189" t="s">
        <v>60</v>
      </c>
      <c r="E311" s="126"/>
      <c r="F311" s="126"/>
      <c r="G311" s="126"/>
      <c r="H311" s="126"/>
      <c r="I311" s="126"/>
      <c r="J311" s="126"/>
      <c r="K311" s="126"/>
      <c r="L311" s="75">
        <f t="shared" si="112"/>
        <v>0</v>
      </c>
    </row>
    <row r="312" spans="2:12" x14ac:dyDescent="0.25">
      <c r="B312" s="380"/>
      <c r="C312" s="381"/>
      <c r="D312" s="189" t="s">
        <v>61</v>
      </c>
      <c r="E312" s="126"/>
      <c r="F312" s="126"/>
      <c r="G312" s="126"/>
      <c r="H312" s="126"/>
      <c r="I312" s="126"/>
      <c r="J312" s="126"/>
      <c r="K312" s="126"/>
      <c r="L312" s="75">
        <f t="shared" si="112"/>
        <v>0</v>
      </c>
    </row>
    <row r="313" spans="2:12" x14ac:dyDescent="0.25">
      <c r="B313" s="380"/>
      <c r="C313" s="381"/>
      <c r="D313" s="189" t="s">
        <v>62</v>
      </c>
      <c r="E313" s="129">
        <f>17+1+14+42+15+13+71+17+4</f>
        <v>194</v>
      </c>
      <c r="F313" s="129">
        <v>2</v>
      </c>
      <c r="G313" s="129">
        <f>1+5+8+1</f>
        <v>15</v>
      </c>
      <c r="H313" s="123"/>
      <c r="I313" s="123"/>
      <c r="J313" s="129">
        <f>78+3+23+164+60+49+201+67+12</f>
        <v>657</v>
      </c>
      <c r="K313" s="123"/>
      <c r="L313" s="75">
        <f t="shared" si="112"/>
        <v>868</v>
      </c>
    </row>
    <row r="314" spans="2:12" x14ac:dyDescent="0.25">
      <c r="B314" s="380"/>
      <c r="C314" s="381"/>
      <c r="D314" s="189" t="s">
        <v>63</v>
      </c>
      <c r="E314" s="129">
        <v>183</v>
      </c>
      <c r="F314" s="123"/>
      <c r="G314" s="123"/>
      <c r="H314" s="123"/>
      <c r="I314" s="123"/>
      <c r="J314" s="129">
        <v>324</v>
      </c>
      <c r="K314" s="129">
        <v>26</v>
      </c>
      <c r="L314" s="75">
        <f t="shared" si="112"/>
        <v>533</v>
      </c>
    </row>
    <row r="315" spans="2:12" x14ac:dyDescent="0.25">
      <c r="B315" s="380"/>
      <c r="C315" s="381"/>
      <c r="D315" s="189" t="s">
        <v>64</v>
      </c>
      <c r="E315" s="126"/>
      <c r="F315" s="126"/>
      <c r="G315" s="126"/>
      <c r="H315" s="126"/>
      <c r="I315" s="126"/>
      <c r="J315" s="126"/>
      <c r="K315" s="126"/>
      <c r="L315" s="75">
        <f t="shared" si="112"/>
        <v>0</v>
      </c>
    </row>
    <row r="316" spans="2:12" x14ac:dyDescent="0.25">
      <c r="B316" s="380"/>
      <c r="C316" s="381"/>
      <c r="D316" s="189" t="s">
        <v>65</v>
      </c>
      <c r="E316" s="126"/>
      <c r="F316" s="126"/>
      <c r="G316" s="126"/>
      <c r="H316" s="126"/>
      <c r="I316" s="126"/>
      <c r="J316" s="126"/>
      <c r="K316" s="126"/>
      <c r="L316" s="75">
        <f t="shared" si="112"/>
        <v>0</v>
      </c>
    </row>
    <row r="317" spans="2:12" x14ac:dyDescent="0.25">
      <c r="B317" s="380"/>
      <c r="C317" s="381"/>
      <c r="D317" s="189" t="s">
        <v>66</v>
      </c>
      <c r="E317" s="126"/>
      <c r="F317" s="126"/>
      <c r="G317" s="126"/>
      <c r="H317" s="126"/>
      <c r="I317" s="126"/>
      <c r="J317" s="126"/>
      <c r="K317" s="126"/>
      <c r="L317" s="75">
        <f t="shared" si="112"/>
        <v>0</v>
      </c>
    </row>
    <row r="318" spans="2:12" x14ac:dyDescent="0.25">
      <c r="B318" s="380"/>
      <c r="C318" s="381"/>
      <c r="D318" s="189" t="s">
        <v>67</v>
      </c>
      <c r="E318" s="129">
        <f>91136+37512+65106</f>
        <v>193754</v>
      </c>
      <c r="F318" s="126"/>
      <c r="G318" s="126"/>
      <c r="H318" s="126"/>
      <c r="I318" s="126"/>
      <c r="J318" s="129">
        <f>273777+125466+219410</f>
        <v>618653</v>
      </c>
      <c r="K318" s="126"/>
      <c r="L318" s="75">
        <f t="shared" si="112"/>
        <v>812407</v>
      </c>
    </row>
    <row r="319" spans="2:12" ht="15.75" thickBot="1" x14ac:dyDescent="0.3">
      <c r="B319" s="391" t="s">
        <v>15</v>
      </c>
      <c r="C319" s="392"/>
      <c r="D319" s="393"/>
      <c r="E319" s="250">
        <f>SUM(E307:E318)</f>
        <v>194748</v>
      </c>
      <c r="F319" s="250">
        <f t="shared" ref="F319" si="137">SUM(F307:F318)</f>
        <v>2</v>
      </c>
      <c r="G319" s="250">
        <f t="shared" ref="G319" si="138">SUM(G307:G318)</f>
        <v>15</v>
      </c>
      <c r="H319" s="250">
        <f t="shared" ref="H319" si="139">SUM(H307:H318)</f>
        <v>0</v>
      </c>
      <c r="I319" s="250">
        <f t="shared" ref="I319" si="140">SUM(I307:I318)</f>
        <v>0</v>
      </c>
      <c r="J319" s="250">
        <f t="shared" ref="J319" si="141">SUM(J307:J318)</f>
        <v>621503</v>
      </c>
      <c r="K319" s="250">
        <f t="shared" ref="K319" si="142">SUM(K307:K318)</f>
        <v>259</v>
      </c>
      <c r="L319" s="275">
        <f t="shared" si="112"/>
        <v>816527</v>
      </c>
    </row>
    <row r="320" spans="2:12" ht="16.5" thickTop="1" thickBot="1" x14ac:dyDescent="0.3">
      <c r="B320" s="396" t="s">
        <v>188</v>
      </c>
      <c r="C320" s="397"/>
      <c r="D320" s="398"/>
      <c r="E320" s="263">
        <f>E319+E306+E293+E280+E267+E254+E241+E228+E215+E202+E189+E176+E163+E150+E137+E124+E111+E98+E85+E72+E59+E46+E33+E20</f>
        <v>231698</v>
      </c>
      <c r="F320" s="263">
        <f t="shared" ref="F320:K320" si="143">F319+F306+F293+F280+F267+F254+F241+F228+F215+F202+F189+F176+F163+F150+F137+F124+F111+F98+F85+F72+F59+F46+F33+F20</f>
        <v>19</v>
      </c>
      <c r="G320" s="263">
        <f t="shared" si="143"/>
        <v>31</v>
      </c>
      <c r="H320" s="263">
        <f t="shared" si="143"/>
        <v>0</v>
      </c>
      <c r="I320" s="263">
        <f t="shared" si="143"/>
        <v>0</v>
      </c>
      <c r="J320" s="263">
        <f t="shared" si="143"/>
        <v>798538</v>
      </c>
      <c r="K320" s="263">
        <f t="shared" si="143"/>
        <v>990</v>
      </c>
    </row>
  </sheetData>
  <mergeCells count="81">
    <mergeCell ref="B228:D228"/>
    <mergeCell ref="C307:C318"/>
    <mergeCell ref="B319:D319"/>
    <mergeCell ref="C255:C266"/>
    <mergeCell ref="B267:D267"/>
    <mergeCell ref="B268:B279"/>
    <mergeCell ref="C268:C279"/>
    <mergeCell ref="B280:D280"/>
    <mergeCell ref="B281:B292"/>
    <mergeCell ref="C281:C292"/>
    <mergeCell ref="B229:B240"/>
    <mergeCell ref="C229:C240"/>
    <mergeCell ref="B241:D241"/>
    <mergeCell ref="B293:D293"/>
    <mergeCell ref="B242:B253"/>
    <mergeCell ref="C242:C253"/>
    <mergeCell ref="B163:D163"/>
    <mergeCell ref="B164:B175"/>
    <mergeCell ref="C164:C175"/>
    <mergeCell ref="B176:D176"/>
    <mergeCell ref="C216:C227"/>
    <mergeCell ref="B177:B188"/>
    <mergeCell ref="C177:C188"/>
    <mergeCell ref="C190:C201"/>
    <mergeCell ref="B202:D202"/>
    <mergeCell ref="B203:B214"/>
    <mergeCell ref="B189:D189"/>
    <mergeCell ref="C203:C214"/>
    <mergeCell ref="B215:D215"/>
    <mergeCell ref="B216:B227"/>
    <mergeCell ref="B190:B201"/>
    <mergeCell ref="B86:B97"/>
    <mergeCell ref="C86:C97"/>
    <mergeCell ref="B85:D85"/>
    <mergeCell ref="B4:B6"/>
    <mergeCell ref="C4:C6"/>
    <mergeCell ref="D4:D6"/>
    <mergeCell ref="B8:B19"/>
    <mergeCell ref="C8:C19"/>
    <mergeCell ref="B47:B58"/>
    <mergeCell ref="B73:B84"/>
    <mergeCell ref="C73:C84"/>
    <mergeCell ref="B33:D33"/>
    <mergeCell ref="C47:C58"/>
    <mergeCell ref="B59:D59"/>
    <mergeCell ref="B60:B71"/>
    <mergeCell ref="C60:C71"/>
    <mergeCell ref="B150:D150"/>
    <mergeCell ref="B151:B162"/>
    <mergeCell ref="B137:D137"/>
    <mergeCell ref="B98:D98"/>
    <mergeCell ref="B99:B110"/>
    <mergeCell ref="C99:C110"/>
    <mergeCell ref="B111:D111"/>
    <mergeCell ref="B112:B123"/>
    <mergeCell ref="C112:C123"/>
    <mergeCell ref="C151:C162"/>
    <mergeCell ref="B138:B149"/>
    <mergeCell ref="C138:C149"/>
    <mergeCell ref="B124:D124"/>
    <mergeCell ref="B125:B136"/>
    <mergeCell ref="C125:C136"/>
    <mergeCell ref="B254:D254"/>
    <mergeCell ref="B255:B266"/>
    <mergeCell ref="B320:D320"/>
    <mergeCell ref="B294:B305"/>
    <mergeCell ref="C294:C305"/>
    <mergeCell ref="B306:D306"/>
    <mergeCell ref="B307:B318"/>
    <mergeCell ref="B1:K1"/>
    <mergeCell ref="B2:K2"/>
    <mergeCell ref="F4:K4"/>
    <mergeCell ref="B20:D20"/>
    <mergeCell ref="B21:B32"/>
    <mergeCell ref="C21:C32"/>
    <mergeCell ref="B72:D72"/>
    <mergeCell ref="L4:L6"/>
    <mergeCell ref="B34:B45"/>
    <mergeCell ref="C34:C45"/>
    <mergeCell ref="E4:E5"/>
    <mergeCell ref="B46:D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94B8-3960-42BE-8E81-FEE2D651E317}">
  <dimension ref="A1:J32"/>
  <sheetViews>
    <sheetView view="pageBreakPreview" topLeftCell="A2" zoomScale="115" zoomScaleNormal="100" zoomScaleSheetLayoutView="115" workbookViewId="0">
      <selection activeCell="H37" sqref="H37"/>
    </sheetView>
  </sheetViews>
  <sheetFormatPr defaultRowHeight="15" x14ac:dyDescent="0.25"/>
  <cols>
    <col min="2" max="2" width="25.7109375" customWidth="1"/>
    <col min="3" max="3" width="14.85546875" customWidth="1"/>
    <col min="4" max="4" width="20" customWidth="1"/>
    <col min="5" max="5" width="17.7109375" bestFit="1" customWidth="1"/>
    <col min="6" max="6" width="16.5703125" customWidth="1"/>
    <col min="7" max="7" width="16.140625" bestFit="1" customWidth="1"/>
    <col min="8" max="9" width="16.140625" customWidth="1"/>
    <col min="10" max="10" width="21.85546875" customWidth="1"/>
  </cols>
  <sheetData>
    <row r="1" spans="1:10" ht="18.75" x14ac:dyDescent="0.3">
      <c r="B1" s="322" t="s">
        <v>108</v>
      </c>
      <c r="C1" s="322"/>
      <c r="D1" s="322"/>
      <c r="E1" s="322"/>
      <c r="F1" s="322"/>
      <c r="G1" s="322"/>
      <c r="H1" s="322"/>
      <c r="I1" s="322"/>
      <c r="J1" s="322"/>
    </row>
    <row r="2" spans="1:10" ht="18.75" x14ac:dyDescent="0.3">
      <c r="B2" s="322" t="s">
        <v>0</v>
      </c>
      <c r="C2" s="322"/>
      <c r="D2" s="322"/>
      <c r="E2" s="322"/>
      <c r="F2" s="322"/>
      <c r="G2" s="322"/>
      <c r="H2" s="322"/>
      <c r="I2" s="322"/>
      <c r="J2" s="322"/>
    </row>
    <row r="4" spans="1:10" ht="13.5" customHeight="1" x14ac:dyDescent="0.25">
      <c r="A4" s="418" t="s">
        <v>195</v>
      </c>
      <c r="B4" s="422" t="s">
        <v>220</v>
      </c>
      <c r="C4" s="421" t="s">
        <v>192</v>
      </c>
      <c r="D4" s="421"/>
      <c r="E4" s="421"/>
      <c r="F4" s="421"/>
      <c r="G4" s="421"/>
      <c r="H4" s="421"/>
      <c r="I4" s="421"/>
      <c r="J4" s="422" t="s">
        <v>194</v>
      </c>
    </row>
    <row r="5" spans="1:10" ht="19.5" customHeight="1" x14ac:dyDescent="0.25">
      <c r="A5" s="418"/>
      <c r="B5" s="422"/>
      <c r="C5" s="273" t="s">
        <v>114</v>
      </c>
      <c r="D5" s="273" t="s">
        <v>196</v>
      </c>
      <c r="E5" s="273" t="s">
        <v>197</v>
      </c>
      <c r="F5" s="273" t="s">
        <v>198</v>
      </c>
      <c r="G5" s="273" t="s">
        <v>199</v>
      </c>
      <c r="H5" s="273" t="s">
        <v>200</v>
      </c>
      <c r="I5" s="273" t="s">
        <v>201</v>
      </c>
      <c r="J5" s="422"/>
    </row>
    <row r="6" spans="1:10" ht="13.5" customHeight="1" x14ac:dyDescent="0.25">
      <c r="A6" s="418"/>
      <c r="B6" s="422"/>
      <c r="C6" s="272" t="s">
        <v>193</v>
      </c>
      <c r="D6" s="272" t="s">
        <v>55</v>
      </c>
      <c r="E6" s="272" t="s">
        <v>55</v>
      </c>
      <c r="F6" s="272" t="s">
        <v>55</v>
      </c>
      <c r="G6" s="272" t="s">
        <v>55</v>
      </c>
      <c r="H6" s="272" t="s">
        <v>55</v>
      </c>
      <c r="I6" s="272" t="s">
        <v>55</v>
      </c>
      <c r="J6" s="422"/>
    </row>
    <row r="7" spans="1:10" ht="13.5" customHeight="1" thickBot="1" x14ac:dyDescent="0.3">
      <c r="A7" s="271">
        <v>1</v>
      </c>
      <c r="B7" s="270">
        <v>2</v>
      </c>
      <c r="C7" s="270">
        <v>3</v>
      </c>
      <c r="D7" s="270">
        <v>4</v>
      </c>
      <c r="E7" s="270">
        <v>5</v>
      </c>
      <c r="F7" s="270">
        <v>6</v>
      </c>
      <c r="G7" s="270">
        <v>7</v>
      </c>
      <c r="H7" s="270">
        <v>8</v>
      </c>
      <c r="I7" s="270">
        <v>9</v>
      </c>
      <c r="J7" s="270">
        <v>10</v>
      </c>
    </row>
    <row r="8" spans="1:10" ht="22.5" customHeight="1" thickTop="1" x14ac:dyDescent="0.25">
      <c r="A8" s="274">
        <v>1</v>
      </c>
      <c r="B8" s="258" t="s">
        <v>85</v>
      </c>
      <c r="C8" s="259">
        <f>Sheet8!E20</f>
        <v>51</v>
      </c>
      <c r="D8" s="259">
        <f>Sheet8!F20</f>
        <v>0</v>
      </c>
      <c r="E8" s="259">
        <f>Sheet8!G20</f>
        <v>2</v>
      </c>
      <c r="F8" s="259">
        <f>Sheet8!H20</f>
        <v>0</v>
      </c>
      <c r="G8" s="259">
        <f>Sheet8!I20</f>
        <v>0</v>
      </c>
      <c r="H8" s="259">
        <f>Sheet8!J20</f>
        <v>18</v>
      </c>
      <c r="I8" s="259">
        <f>Sheet8!K20</f>
        <v>9</v>
      </c>
      <c r="J8" s="266">
        <f>SUM(C8:I8)</f>
        <v>80</v>
      </c>
    </row>
    <row r="9" spans="1:10" ht="22.5" customHeight="1" x14ac:dyDescent="0.25">
      <c r="A9" s="260">
        <v>2</v>
      </c>
      <c r="B9" s="251" t="s">
        <v>86</v>
      </c>
      <c r="C9" s="252">
        <f>Sheet8!E33</f>
        <v>2757</v>
      </c>
      <c r="D9" s="252">
        <f>Sheet8!F33</f>
        <v>0</v>
      </c>
      <c r="E9" s="252">
        <f>Sheet8!G33</f>
        <v>3</v>
      </c>
      <c r="F9" s="252">
        <f>Sheet8!H33</f>
        <v>0</v>
      </c>
      <c r="G9" s="252">
        <f>Sheet8!I33</f>
        <v>0</v>
      </c>
      <c r="H9" s="252">
        <f>Sheet8!J33</f>
        <v>7927</v>
      </c>
      <c r="I9" s="252">
        <f>Sheet8!K33</f>
        <v>55</v>
      </c>
      <c r="J9" s="267">
        <f>SUM(C9:I9)</f>
        <v>10742</v>
      </c>
    </row>
    <row r="10" spans="1:10" ht="22.5" customHeight="1" x14ac:dyDescent="0.25">
      <c r="A10" s="260">
        <v>3</v>
      </c>
      <c r="B10" s="251" t="s">
        <v>87</v>
      </c>
      <c r="C10" s="252">
        <f>Sheet8!E46</f>
        <v>15</v>
      </c>
      <c r="D10" s="252">
        <f>Sheet8!F46</f>
        <v>1</v>
      </c>
      <c r="E10" s="252">
        <f>Sheet8!G46</f>
        <v>0</v>
      </c>
      <c r="F10" s="252">
        <f>Sheet8!H46</f>
        <v>0</v>
      </c>
      <c r="G10" s="252">
        <f>Sheet8!I46</f>
        <v>0</v>
      </c>
      <c r="H10" s="252">
        <f>Sheet8!J46</f>
        <v>2</v>
      </c>
      <c r="I10" s="252">
        <f>Sheet8!K46</f>
        <v>0</v>
      </c>
      <c r="J10" s="252">
        <f t="shared" ref="J10:J31" si="0">SUM(C10:I10)</f>
        <v>18</v>
      </c>
    </row>
    <row r="11" spans="1:10" ht="22.5" customHeight="1" x14ac:dyDescent="0.25">
      <c r="A11" s="260">
        <v>4</v>
      </c>
      <c r="B11" s="251" t="s">
        <v>88</v>
      </c>
      <c r="C11" s="252">
        <f>Sheet8!E59</f>
        <v>563</v>
      </c>
      <c r="D11" s="252">
        <f>Sheet8!F59</f>
        <v>1</v>
      </c>
      <c r="E11" s="252">
        <f>Sheet8!G59</f>
        <v>0</v>
      </c>
      <c r="F11" s="252">
        <f>Sheet8!H59</f>
        <v>0</v>
      </c>
      <c r="G11" s="252">
        <f>Sheet8!I59</f>
        <v>0</v>
      </c>
      <c r="H11" s="252">
        <f>Sheet8!J59</f>
        <v>1447</v>
      </c>
      <c r="I11" s="252">
        <f>Sheet8!K59</f>
        <v>11</v>
      </c>
      <c r="J11" s="252">
        <f t="shared" si="0"/>
        <v>2022</v>
      </c>
    </row>
    <row r="12" spans="1:10" ht="22.5" customHeight="1" x14ac:dyDescent="0.25">
      <c r="A12" s="260">
        <v>5</v>
      </c>
      <c r="B12" s="251" t="s">
        <v>89</v>
      </c>
      <c r="C12" s="252">
        <f>Sheet8!E72</f>
        <v>1660</v>
      </c>
      <c r="D12" s="252">
        <f>Sheet8!F72</f>
        <v>0</v>
      </c>
      <c r="E12" s="252">
        <f>Sheet8!G72</f>
        <v>0</v>
      </c>
      <c r="F12" s="252">
        <f>Sheet8!H72</f>
        <v>0</v>
      </c>
      <c r="G12" s="252">
        <f>Sheet8!I72</f>
        <v>0</v>
      </c>
      <c r="H12" s="252">
        <f>Sheet8!J72</f>
        <v>225</v>
      </c>
      <c r="I12" s="252">
        <f>Sheet8!K72</f>
        <v>3</v>
      </c>
      <c r="J12" s="252">
        <f t="shared" si="0"/>
        <v>1888</v>
      </c>
    </row>
    <row r="13" spans="1:10" ht="22.5" customHeight="1" x14ac:dyDescent="0.25">
      <c r="A13" s="260">
        <v>6</v>
      </c>
      <c r="B13" s="251" t="s">
        <v>189</v>
      </c>
      <c r="C13" s="252">
        <f>Sheet8!E85</f>
        <v>494</v>
      </c>
      <c r="D13" s="252">
        <f>Sheet8!F85</f>
        <v>0</v>
      </c>
      <c r="E13" s="252">
        <f>Sheet8!G85</f>
        <v>0</v>
      </c>
      <c r="F13" s="252">
        <f>Sheet8!H85</f>
        <v>0</v>
      </c>
      <c r="G13" s="252">
        <f>Sheet8!I85</f>
        <v>0</v>
      </c>
      <c r="H13" s="252">
        <f>Sheet8!J85</f>
        <v>36</v>
      </c>
      <c r="I13" s="252">
        <f>Sheet8!K85</f>
        <v>63</v>
      </c>
      <c r="J13" s="252">
        <f t="shared" si="0"/>
        <v>593</v>
      </c>
    </row>
    <row r="14" spans="1:10" ht="22.5" customHeight="1" x14ac:dyDescent="0.25">
      <c r="A14" s="260">
        <v>7</v>
      </c>
      <c r="B14" s="251" t="s">
        <v>90</v>
      </c>
      <c r="C14" s="252">
        <f>Sheet8!E98</f>
        <v>16059</v>
      </c>
      <c r="D14" s="252">
        <f>Sheet8!F98</f>
        <v>0</v>
      </c>
      <c r="E14" s="252">
        <f>Sheet8!G98</f>
        <v>1</v>
      </c>
      <c r="F14" s="252">
        <f>Sheet8!H98</f>
        <v>0</v>
      </c>
      <c r="G14" s="252">
        <f>Sheet8!I98</f>
        <v>0</v>
      </c>
      <c r="H14" s="252">
        <f>Sheet8!J98</f>
        <v>55397</v>
      </c>
      <c r="I14" s="252">
        <f>Sheet8!K98</f>
        <v>0</v>
      </c>
      <c r="J14" s="252">
        <f t="shared" si="0"/>
        <v>71457</v>
      </c>
    </row>
    <row r="15" spans="1:10" ht="22.5" customHeight="1" x14ac:dyDescent="0.25">
      <c r="A15" s="260">
        <v>8</v>
      </c>
      <c r="B15" s="251" t="s">
        <v>91</v>
      </c>
      <c r="C15" s="252">
        <f>Sheet8!E111</f>
        <v>106</v>
      </c>
      <c r="D15" s="252">
        <f>Sheet8!F111</f>
        <v>1</v>
      </c>
      <c r="E15" s="252">
        <f>Sheet8!G111</f>
        <v>0</v>
      </c>
      <c r="F15" s="252">
        <f>Sheet8!H111</f>
        <v>0</v>
      </c>
      <c r="G15" s="252">
        <f>Sheet8!I111</f>
        <v>0</v>
      </c>
      <c r="H15" s="252">
        <f>Sheet8!J111</f>
        <v>58413</v>
      </c>
      <c r="I15" s="252">
        <f>Sheet8!K111</f>
        <v>0</v>
      </c>
      <c r="J15" s="252">
        <f t="shared" si="0"/>
        <v>58520</v>
      </c>
    </row>
    <row r="16" spans="1:10" ht="22.5" customHeight="1" x14ac:dyDescent="0.25">
      <c r="A16" s="260">
        <v>9</v>
      </c>
      <c r="B16" s="251" t="s">
        <v>92</v>
      </c>
      <c r="C16" s="252">
        <f>Sheet8!E124</f>
        <v>33</v>
      </c>
      <c r="D16" s="252">
        <f>Sheet8!F124</f>
        <v>0</v>
      </c>
      <c r="E16" s="252">
        <f>Sheet8!G124</f>
        <v>5</v>
      </c>
      <c r="F16" s="252">
        <f>Sheet8!H124</f>
        <v>0</v>
      </c>
      <c r="G16" s="252">
        <f>Sheet8!I124</f>
        <v>0</v>
      </c>
      <c r="H16" s="252">
        <f>Sheet8!J124</f>
        <v>80</v>
      </c>
      <c r="I16" s="252">
        <f>Sheet8!K124</f>
        <v>0</v>
      </c>
      <c r="J16" s="252">
        <f t="shared" si="0"/>
        <v>118</v>
      </c>
    </row>
    <row r="17" spans="1:10" ht="22.5" customHeight="1" x14ac:dyDescent="0.25">
      <c r="A17" s="260">
        <v>10</v>
      </c>
      <c r="B17" s="251" t="s">
        <v>94</v>
      </c>
      <c r="C17" s="252">
        <f>Sheet8!E137</f>
        <v>2303</v>
      </c>
      <c r="D17" s="252">
        <f>Sheet8!F137</f>
        <v>0</v>
      </c>
      <c r="E17" s="252">
        <f>Sheet8!G137</f>
        <v>0</v>
      </c>
      <c r="F17" s="252">
        <f>Sheet8!H137</f>
        <v>0</v>
      </c>
      <c r="G17" s="252">
        <f>Sheet8!I137</f>
        <v>0</v>
      </c>
      <c r="H17" s="252">
        <f>Sheet8!J137</f>
        <v>3956</v>
      </c>
      <c r="I17" s="252">
        <f>Sheet8!K137</f>
        <v>0</v>
      </c>
      <c r="J17" s="252">
        <f t="shared" si="0"/>
        <v>6259</v>
      </c>
    </row>
    <row r="18" spans="1:10" ht="22.5" customHeight="1" x14ac:dyDescent="0.25">
      <c r="A18" s="260">
        <v>11</v>
      </c>
      <c r="B18" s="251" t="s">
        <v>93</v>
      </c>
      <c r="C18" s="252">
        <f>Sheet8!E150</f>
        <v>120</v>
      </c>
      <c r="D18" s="252">
        <f>Sheet8!F150</f>
        <v>3</v>
      </c>
      <c r="E18" s="252">
        <f>Sheet8!G150</f>
        <v>1</v>
      </c>
      <c r="F18" s="252">
        <f>Sheet8!H150</f>
        <v>0</v>
      </c>
      <c r="G18" s="252">
        <f>Sheet8!I150</f>
        <v>0</v>
      </c>
      <c r="H18" s="252">
        <f>Sheet8!J150</f>
        <v>57</v>
      </c>
      <c r="I18" s="252">
        <f>Sheet8!K150</f>
        <v>0</v>
      </c>
      <c r="J18" s="252">
        <f t="shared" si="0"/>
        <v>181</v>
      </c>
    </row>
    <row r="19" spans="1:10" ht="22.5" customHeight="1" x14ac:dyDescent="0.25">
      <c r="A19" s="260">
        <v>12</v>
      </c>
      <c r="B19" s="252" t="s">
        <v>95</v>
      </c>
      <c r="C19" s="252">
        <f>Sheet8!E163</f>
        <v>25</v>
      </c>
      <c r="D19" s="252">
        <f>Sheet8!F163</f>
        <v>3</v>
      </c>
      <c r="E19" s="252">
        <f>Sheet8!G163</f>
        <v>1</v>
      </c>
      <c r="F19" s="252">
        <f>Sheet8!H163</f>
        <v>0</v>
      </c>
      <c r="G19" s="252">
        <f>Sheet8!I163</f>
        <v>0</v>
      </c>
      <c r="H19" s="252">
        <f>Sheet8!J163</f>
        <v>11163</v>
      </c>
      <c r="I19" s="252">
        <f>Sheet8!K163</f>
        <v>0</v>
      </c>
      <c r="J19" s="252">
        <f t="shared" si="0"/>
        <v>11192</v>
      </c>
    </row>
    <row r="20" spans="1:10" ht="22.5" customHeight="1" x14ac:dyDescent="0.25">
      <c r="A20" s="260">
        <v>13</v>
      </c>
      <c r="B20" s="251" t="s">
        <v>190</v>
      </c>
      <c r="C20" s="252">
        <f>Sheet8!E176</f>
        <v>8232</v>
      </c>
      <c r="D20" s="252">
        <f>Sheet8!F176</f>
        <v>2</v>
      </c>
      <c r="E20" s="252">
        <f>Sheet8!G176</f>
        <v>0</v>
      </c>
      <c r="F20" s="252">
        <f>Sheet8!H176</f>
        <v>0</v>
      </c>
      <c r="G20" s="252">
        <f>Sheet8!I176</f>
        <v>0</v>
      </c>
      <c r="H20" s="252">
        <f>Sheet8!J176</f>
        <v>33801</v>
      </c>
      <c r="I20" s="252">
        <f>Sheet8!K176</f>
        <v>11</v>
      </c>
      <c r="J20" s="252">
        <f t="shared" si="0"/>
        <v>42046</v>
      </c>
    </row>
    <row r="21" spans="1:10" ht="22.5" customHeight="1" x14ac:dyDescent="0.25">
      <c r="A21" s="260">
        <v>14</v>
      </c>
      <c r="B21" s="251" t="s">
        <v>96</v>
      </c>
      <c r="C21" s="252">
        <f>Sheet8!E189</f>
        <v>773</v>
      </c>
      <c r="D21" s="252">
        <f>Sheet8!F189</f>
        <v>0</v>
      </c>
      <c r="E21" s="252">
        <f>Sheet8!G189</f>
        <v>1</v>
      </c>
      <c r="F21" s="252">
        <f>Sheet8!H189</f>
        <v>0</v>
      </c>
      <c r="G21" s="252">
        <f>Sheet8!I189</f>
        <v>0</v>
      </c>
      <c r="H21" s="252">
        <f>Sheet8!J189</f>
        <v>35</v>
      </c>
      <c r="I21" s="252">
        <f>Sheet8!K189</f>
        <v>134</v>
      </c>
      <c r="J21" s="252">
        <f t="shared" si="0"/>
        <v>943</v>
      </c>
    </row>
    <row r="22" spans="1:10" ht="22.5" customHeight="1" x14ac:dyDescent="0.25">
      <c r="A22" s="260">
        <v>15</v>
      </c>
      <c r="B22" s="251" t="s">
        <v>219</v>
      </c>
      <c r="C22" s="252">
        <f>Sheet8!E202</f>
        <v>495</v>
      </c>
      <c r="D22" s="252">
        <f>Sheet8!F202</f>
        <v>1</v>
      </c>
      <c r="E22" s="252">
        <f>Sheet8!G202</f>
        <v>1</v>
      </c>
      <c r="F22" s="252">
        <f>Sheet8!H202</f>
        <v>0</v>
      </c>
      <c r="G22" s="252">
        <f>Sheet8!I202</f>
        <v>0</v>
      </c>
      <c r="H22" s="252">
        <f>Sheet8!J202</f>
        <v>583</v>
      </c>
      <c r="I22" s="252">
        <f>Sheet8!K202</f>
        <v>1</v>
      </c>
      <c r="J22" s="252">
        <f t="shared" si="0"/>
        <v>1081</v>
      </c>
    </row>
    <row r="23" spans="1:10" ht="22.5" customHeight="1" x14ac:dyDescent="0.25">
      <c r="A23" s="260">
        <v>16</v>
      </c>
      <c r="B23" s="251" t="s">
        <v>98</v>
      </c>
      <c r="C23" s="252">
        <f>Sheet8!E215</f>
        <v>133</v>
      </c>
      <c r="D23" s="252">
        <f>Sheet8!F215</f>
        <v>0</v>
      </c>
      <c r="E23" s="252">
        <f>Sheet8!G215</f>
        <v>0</v>
      </c>
      <c r="F23" s="252">
        <f>Sheet8!H215</f>
        <v>0</v>
      </c>
      <c r="G23" s="252">
        <f>Sheet8!I215</f>
        <v>0</v>
      </c>
      <c r="H23" s="252">
        <f>Sheet8!J215</f>
        <v>378</v>
      </c>
      <c r="I23" s="252">
        <f>Sheet8!K215</f>
        <v>16</v>
      </c>
      <c r="J23" s="252">
        <f t="shared" si="0"/>
        <v>527</v>
      </c>
    </row>
    <row r="24" spans="1:10" ht="22.5" customHeight="1" x14ac:dyDescent="0.25">
      <c r="A24" s="260">
        <v>17</v>
      </c>
      <c r="B24" s="251" t="s">
        <v>99</v>
      </c>
      <c r="C24" s="252">
        <f>Sheet8!E228</f>
        <v>14</v>
      </c>
      <c r="D24" s="252">
        <f>Sheet8!F228</f>
        <v>1</v>
      </c>
      <c r="E24" s="252">
        <f>Sheet8!G228</f>
        <v>0</v>
      </c>
      <c r="F24" s="252">
        <f>Sheet8!H228</f>
        <v>0</v>
      </c>
      <c r="G24" s="252">
        <f>Sheet8!I228</f>
        <v>0</v>
      </c>
      <c r="H24" s="252">
        <f>Sheet8!J228</f>
        <v>30</v>
      </c>
      <c r="I24" s="252">
        <f>Sheet8!K228</f>
        <v>0</v>
      </c>
      <c r="J24" s="252">
        <f t="shared" si="0"/>
        <v>45</v>
      </c>
    </row>
    <row r="25" spans="1:10" ht="22.5" customHeight="1" x14ac:dyDescent="0.25">
      <c r="A25" s="260">
        <v>18</v>
      </c>
      <c r="B25" s="251" t="s">
        <v>100</v>
      </c>
      <c r="C25" s="252">
        <f>Sheet8!E241</f>
        <v>20</v>
      </c>
      <c r="D25" s="252">
        <f>Sheet8!F241</f>
        <v>0</v>
      </c>
      <c r="E25" s="252">
        <f>Sheet8!G241</f>
        <v>0</v>
      </c>
      <c r="F25" s="252">
        <f>Sheet8!H241</f>
        <v>0</v>
      </c>
      <c r="G25" s="252">
        <f>Sheet8!I241</f>
        <v>0</v>
      </c>
      <c r="H25" s="252">
        <f>Sheet8!J241</f>
        <v>3</v>
      </c>
      <c r="I25" s="252">
        <f>Sheet8!K241</f>
        <v>0</v>
      </c>
      <c r="J25" s="252">
        <f t="shared" si="0"/>
        <v>23</v>
      </c>
    </row>
    <row r="26" spans="1:10" ht="22.5" customHeight="1" x14ac:dyDescent="0.25">
      <c r="A26" s="260">
        <v>19</v>
      </c>
      <c r="B26" s="251" t="s">
        <v>101</v>
      </c>
      <c r="C26" s="252">
        <f>Sheet8!E254</f>
        <v>1587</v>
      </c>
      <c r="D26" s="252">
        <f>Sheet8!F254</f>
        <v>1</v>
      </c>
      <c r="E26" s="252">
        <f>Sheet8!G254</f>
        <v>0</v>
      </c>
      <c r="F26" s="252">
        <f>Sheet8!H254</f>
        <v>0</v>
      </c>
      <c r="G26" s="252">
        <f>Sheet8!I254</f>
        <v>0</v>
      </c>
      <c r="H26" s="252">
        <f>Sheet8!J254</f>
        <v>2468</v>
      </c>
      <c r="I26" s="252">
        <f>Sheet8!K254</f>
        <v>388</v>
      </c>
      <c r="J26" s="252">
        <f t="shared" si="0"/>
        <v>4444</v>
      </c>
    </row>
    <row r="27" spans="1:10" ht="22.5" customHeight="1" x14ac:dyDescent="0.25">
      <c r="A27" s="260">
        <v>20</v>
      </c>
      <c r="B27" s="251" t="s">
        <v>102</v>
      </c>
      <c r="C27" s="252">
        <f>Sheet8!E280</f>
        <v>27</v>
      </c>
      <c r="D27" s="252">
        <f>Sheet8!F280</f>
        <v>0</v>
      </c>
      <c r="E27" s="252">
        <f>Sheet8!G280</f>
        <v>1</v>
      </c>
      <c r="F27" s="252">
        <f>Sheet8!H280</f>
        <v>0</v>
      </c>
      <c r="G27" s="252">
        <f>Sheet8!I280</f>
        <v>0</v>
      </c>
      <c r="H27" s="252">
        <f>Sheet8!J280</f>
        <v>75</v>
      </c>
      <c r="I27" s="252">
        <f>Sheet8!K280</f>
        <v>0</v>
      </c>
      <c r="J27" s="252">
        <f t="shared" si="0"/>
        <v>103</v>
      </c>
    </row>
    <row r="28" spans="1:10" ht="22.5" customHeight="1" x14ac:dyDescent="0.25">
      <c r="A28" s="260">
        <v>21</v>
      </c>
      <c r="B28" s="251" t="s">
        <v>103</v>
      </c>
      <c r="C28" s="252">
        <f>Sheet8!E267</f>
        <v>63</v>
      </c>
      <c r="D28" s="252">
        <f>Sheet8!F267</f>
        <v>0</v>
      </c>
      <c r="E28" s="252">
        <f>Sheet8!G267</f>
        <v>0</v>
      </c>
      <c r="F28" s="252">
        <f>Sheet8!H267</f>
        <v>0</v>
      </c>
      <c r="G28" s="252">
        <f>Sheet8!I267</f>
        <v>0</v>
      </c>
      <c r="H28" s="252">
        <f>Sheet8!J267</f>
        <v>0</v>
      </c>
      <c r="I28" s="252">
        <f>Sheet8!K267</f>
        <v>0</v>
      </c>
      <c r="J28" s="252">
        <f t="shared" si="0"/>
        <v>63</v>
      </c>
    </row>
    <row r="29" spans="1:10" ht="22.5" customHeight="1" x14ac:dyDescent="0.25">
      <c r="A29" s="260">
        <v>22</v>
      </c>
      <c r="B29" s="251" t="s">
        <v>104</v>
      </c>
      <c r="C29" s="252">
        <f>Sheet8!E293</f>
        <v>1378</v>
      </c>
      <c r="D29" s="252">
        <f>Sheet8!F293</f>
        <v>3</v>
      </c>
      <c r="E29" s="252">
        <f>Sheet8!G293</f>
        <v>0</v>
      </c>
      <c r="F29" s="252">
        <f>Sheet8!H293</f>
        <v>0</v>
      </c>
      <c r="G29" s="252">
        <f>Sheet8!I293</f>
        <v>0</v>
      </c>
      <c r="H29" s="252">
        <f>Sheet8!J293</f>
        <v>939</v>
      </c>
      <c r="I29" s="252">
        <f>Sheet8!K293</f>
        <v>40</v>
      </c>
      <c r="J29" s="257">
        <f t="shared" si="0"/>
        <v>2360</v>
      </c>
    </row>
    <row r="30" spans="1:10" ht="22.5" customHeight="1" x14ac:dyDescent="0.25">
      <c r="A30" s="260">
        <v>23</v>
      </c>
      <c r="B30" s="251" t="s">
        <v>105</v>
      </c>
      <c r="C30" s="252">
        <f>Sheet8!E306</f>
        <v>42</v>
      </c>
      <c r="D30" s="252">
        <f>Sheet8!F306</f>
        <v>0</v>
      </c>
      <c r="E30" s="252">
        <f>Sheet8!G306</f>
        <v>0</v>
      </c>
      <c r="F30" s="252">
        <f>Sheet8!H306</f>
        <v>0</v>
      </c>
      <c r="G30" s="252">
        <f>Sheet8!I306</f>
        <v>0</v>
      </c>
      <c r="H30" s="252">
        <f>Sheet8!J306</f>
        <v>2</v>
      </c>
      <c r="I30" s="252">
        <f>Sheet8!K306</f>
        <v>0</v>
      </c>
      <c r="J30" s="257">
        <f t="shared" si="0"/>
        <v>44</v>
      </c>
    </row>
    <row r="31" spans="1:10" ht="22.5" customHeight="1" x14ac:dyDescent="0.25">
      <c r="A31" s="260">
        <v>24</v>
      </c>
      <c r="B31" s="251" t="s">
        <v>106</v>
      </c>
      <c r="C31" s="252">
        <f>Sheet8!E319</f>
        <v>194748</v>
      </c>
      <c r="D31" s="252">
        <f>Sheet8!F319</f>
        <v>2</v>
      </c>
      <c r="E31" s="252">
        <f>Sheet8!G319</f>
        <v>15</v>
      </c>
      <c r="F31" s="252">
        <f>Sheet8!H319</f>
        <v>0</v>
      </c>
      <c r="G31" s="252">
        <f>Sheet8!I319</f>
        <v>0</v>
      </c>
      <c r="H31" s="252">
        <f>Sheet8!J319</f>
        <v>621503</v>
      </c>
      <c r="I31" s="252">
        <f>Sheet8!K319</f>
        <v>259</v>
      </c>
      <c r="J31" s="257">
        <f t="shared" si="0"/>
        <v>816527</v>
      </c>
    </row>
    <row r="32" spans="1:10" ht="30.75" customHeight="1" x14ac:dyDescent="0.3">
      <c r="A32" s="419" t="s">
        <v>15</v>
      </c>
      <c r="B32" s="420"/>
      <c r="C32" s="253">
        <f>SUM(C8:C31)</f>
        <v>231698</v>
      </c>
      <c r="D32" s="253">
        <f t="shared" ref="D32:I32" si="1">SUM(D8:D31)</f>
        <v>19</v>
      </c>
      <c r="E32" s="253">
        <f t="shared" si="1"/>
        <v>31</v>
      </c>
      <c r="F32" s="253">
        <f t="shared" si="1"/>
        <v>0</v>
      </c>
      <c r="G32" s="253">
        <f t="shared" si="1"/>
        <v>0</v>
      </c>
      <c r="H32" s="253">
        <f t="shared" si="1"/>
        <v>798538</v>
      </c>
      <c r="I32" s="253">
        <f t="shared" si="1"/>
        <v>990</v>
      </c>
      <c r="J32" s="253">
        <f>SUM(J8:J31)</f>
        <v>1031276</v>
      </c>
    </row>
  </sheetData>
  <mergeCells count="7">
    <mergeCell ref="A4:A6"/>
    <mergeCell ref="A32:B32"/>
    <mergeCell ref="B1:J1"/>
    <mergeCell ref="B2:J2"/>
    <mergeCell ref="C4:I4"/>
    <mergeCell ref="B4:B6"/>
    <mergeCell ref="J4:J6"/>
  </mergeCells>
  <pageMargins left="0.25" right="0.25" top="0.75" bottom="0.75" header="0.3" footer="0.3"/>
  <pageSetup paperSize="9"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Sheet1</vt:lpstr>
      <vt:lpstr>Sheet2</vt:lpstr>
      <vt:lpstr>Sheet2 (2)</vt:lpstr>
      <vt:lpstr>Sheet3</vt:lpstr>
      <vt:lpstr>2023</vt:lpstr>
      <vt:lpstr>Sheet6</vt:lpstr>
      <vt:lpstr>Sheet3 (2)</vt:lpstr>
      <vt:lpstr>Sheet8</vt:lpstr>
      <vt:lpstr>Sheet3 (3)</vt:lpstr>
      <vt:lpstr>Sheet3 (4)</vt:lpstr>
      <vt:lpstr>Sheet4</vt:lpstr>
      <vt:lpstr>'2023'!Print_Area</vt:lpstr>
      <vt:lpstr>Sheet3!Print_Area</vt:lpstr>
      <vt:lpstr>'Sheet3 (2)'!Print_Area</vt:lpstr>
      <vt:lpstr>'Sheet3 (4)'!Print_Area</vt:lpstr>
      <vt:lpstr>'Sheet3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 07</dc:creator>
  <cp:lastModifiedBy>USER</cp:lastModifiedBy>
  <cp:lastPrinted>2024-06-06T09:00:53Z</cp:lastPrinted>
  <dcterms:created xsi:type="dcterms:W3CDTF">2022-12-20T04:21:50Z</dcterms:created>
  <dcterms:modified xsi:type="dcterms:W3CDTF">2024-06-07T03:32:09Z</dcterms:modified>
</cp:coreProperties>
</file>